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ays prod 2011"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030" i="1"/>
  <c r="B1030" i="1"/>
  <c r="A16" i="1"/>
  <c r="B16" i="1"/>
  <c r="A17" i="1"/>
  <c r="B17" i="1"/>
  <c r="A18" i="1"/>
  <c r="B18" i="1"/>
  <c r="A19" i="1"/>
  <c r="B19" i="1"/>
  <c r="A20" i="1"/>
  <c r="A21" i="1"/>
  <c r="B21" i="1"/>
  <c r="A22" i="1"/>
  <c r="A23" i="1"/>
  <c r="B23" i="1"/>
  <c r="A24" i="1"/>
  <c r="B24" i="1"/>
  <c r="A25" i="1"/>
  <c r="B25" i="1"/>
  <c r="A26" i="1"/>
  <c r="B26" i="1"/>
  <c r="A27" i="1"/>
  <c r="A28" i="1"/>
  <c r="B28" i="1"/>
  <c r="A29" i="1"/>
  <c r="B29" i="1"/>
  <c r="A30" i="1"/>
  <c r="B30" i="1"/>
  <c r="A31" i="1"/>
  <c r="B31" i="1"/>
  <c r="A32" i="1"/>
  <c r="A33" i="1"/>
  <c r="B33" i="1"/>
  <c r="A34" i="1"/>
  <c r="B34" i="1"/>
  <c r="A35" i="1"/>
  <c r="B35" i="1"/>
  <c r="A36" i="1"/>
  <c r="B36" i="1"/>
  <c r="A37" i="1"/>
  <c r="B37" i="1"/>
  <c r="A38" i="1"/>
  <c r="B38" i="1"/>
  <c r="A39" i="1"/>
  <c r="B39" i="1"/>
  <c r="A40" i="1"/>
  <c r="A41" i="1"/>
  <c r="B41" i="1"/>
  <c r="A42" i="1"/>
  <c r="B42" i="1"/>
  <c r="A43" i="1"/>
  <c r="B43" i="1"/>
  <c r="A44" i="1"/>
  <c r="B44" i="1"/>
  <c r="A45" i="1"/>
  <c r="B45" i="1"/>
  <c r="A46" i="1"/>
  <c r="A47" i="1"/>
  <c r="B47" i="1"/>
  <c r="A48" i="1"/>
  <c r="A49" i="1"/>
  <c r="A50" i="1"/>
  <c r="B50" i="1"/>
  <c r="A51" i="1"/>
  <c r="A52" i="1"/>
  <c r="B52" i="1"/>
  <c r="A53" i="1"/>
  <c r="B53" i="1"/>
  <c r="A54" i="1"/>
  <c r="B54" i="1"/>
  <c r="A55" i="1"/>
  <c r="A56" i="1"/>
  <c r="A57" i="1"/>
  <c r="B57" i="1"/>
  <c r="A58" i="1"/>
  <c r="B58" i="1"/>
  <c r="A59" i="1"/>
  <c r="B59" i="1"/>
  <c r="A60" i="1"/>
  <c r="B60" i="1"/>
  <c r="A61" i="1"/>
  <c r="B61" i="1"/>
  <c r="A62" i="1"/>
  <c r="B62" i="1"/>
  <c r="A63" i="1"/>
  <c r="B63" i="1"/>
  <c r="A64" i="1"/>
  <c r="B64" i="1"/>
  <c r="A65" i="1"/>
  <c r="B65" i="1"/>
  <c r="A66" i="1"/>
  <c r="B66" i="1"/>
  <c r="A67" i="1"/>
  <c r="B67" i="1"/>
  <c r="A68" i="1"/>
  <c r="B68" i="1"/>
  <c r="A69" i="1"/>
  <c r="B69" i="1"/>
  <c r="A70" i="1"/>
  <c r="A71" i="1"/>
  <c r="A72" i="1"/>
  <c r="B72" i="1"/>
  <c r="A73" i="1"/>
  <c r="B73" i="1"/>
  <c r="A74" i="1"/>
  <c r="B74" i="1"/>
  <c r="A75" i="1"/>
  <c r="A76" i="1"/>
  <c r="B76" i="1"/>
  <c r="A77" i="1"/>
  <c r="B77" i="1"/>
  <c r="A78" i="1"/>
  <c r="B78" i="1"/>
  <c r="A79" i="1"/>
  <c r="B79" i="1"/>
  <c r="A80" i="1"/>
  <c r="B80" i="1"/>
  <c r="A81" i="1"/>
  <c r="B81" i="1"/>
  <c r="A82" i="1"/>
  <c r="B82" i="1"/>
  <c r="A83" i="1"/>
  <c r="B83" i="1"/>
  <c r="A84" i="1"/>
  <c r="A85" i="1"/>
  <c r="B85" i="1"/>
  <c r="A86" i="1"/>
  <c r="B86" i="1"/>
  <c r="A87" i="1"/>
  <c r="A88" i="1"/>
  <c r="B88" i="1"/>
  <c r="A89" i="1"/>
  <c r="B89" i="1"/>
  <c r="A90" i="1"/>
  <c r="A91" i="1"/>
  <c r="B91" i="1"/>
  <c r="A92" i="1"/>
  <c r="B92" i="1"/>
  <c r="A93" i="1"/>
  <c r="B93" i="1"/>
  <c r="A94" i="1"/>
  <c r="B94" i="1"/>
  <c r="A95" i="1"/>
  <c r="B95" i="1"/>
  <c r="A96" i="1"/>
  <c r="B96" i="1"/>
  <c r="A97" i="1"/>
  <c r="B97" i="1"/>
  <c r="A98" i="1"/>
  <c r="B98" i="1"/>
  <c r="A99" i="1"/>
  <c r="B99" i="1"/>
  <c r="A100" i="1"/>
  <c r="B100" i="1"/>
  <c r="A101" i="1"/>
  <c r="B101" i="1"/>
  <c r="A102" i="1"/>
  <c r="B102" i="1"/>
  <c r="A103" i="1"/>
  <c r="A104" i="1"/>
  <c r="A105" i="1"/>
  <c r="A106" i="1"/>
  <c r="B106" i="1"/>
  <c r="A107" i="1"/>
  <c r="B107" i="1"/>
  <c r="A108" i="1"/>
  <c r="B108" i="1"/>
  <c r="A109" i="1"/>
  <c r="B109" i="1"/>
  <c r="A110" i="1"/>
  <c r="B110" i="1"/>
  <c r="A111" i="1"/>
  <c r="B111" i="1"/>
  <c r="A112" i="1"/>
  <c r="A113" i="1"/>
  <c r="A114" i="1"/>
  <c r="B114" i="1"/>
  <c r="A115" i="1"/>
  <c r="B115" i="1"/>
  <c r="A116" i="1"/>
  <c r="B116" i="1"/>
  <c r="A117" i="1"/>
  <c r="B117" i="1"/>
  <c r="A118" i="1"/>
  <c r="B118" i="1"/>
  <c r="A119" i="1"/>
  <c r="B119" i="1"/>
  <c r="A120" i="1"/>
  <c r="B120" i="1"/>
  <c r="A121" i="1"/>
  <c r="B121" i="1"/>
  <c r="A122" i="1"/>
  <c r="A123" i="1"/>
  <c r="A124" i="1"/>
  <c r="A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A140" i="1"/>
  <c r="B140" i="1"/>
  <c r="A141" i="1"/>
  <c r="A142" i="1"/>
  <c r="A143" i="1"/>
  <c r="A144" i="1"/>
  <c r="A145" i="1"/>
  <c r="A146" i="1"/>
  <c r="B146" i="1"/>
  <c r="A147" i="1"/>
  <c r="B147" i="1"/>
  <c r="A148" i="1"/>
  <c r="B148" i="1"/>
  <c r="A149" i="1"/>
  <c r="B149" i="1"/>
  <c r="A150" i="1"/>
  <c r="B150" i="1"/>
  <c r="A151" i="1"/>
  <c r="A152" i="1"/>
  <c r="A153" i="1"/>
  <c r="B153" i="1"/>
  <c r="A154" i="1"/>
  <c r="B154" i="1"/>
  <c r="A155" i="1"/>
  <c r="B155" i="1"/>
  <c r="A156" i="1"/>
  <c r="B156" i="1"/>
  <c r="A157" i="1"/>
  <c r="A158" i="1"/>
  <c r="B158" i="1"/>
  <c r="A159" i="1"/>
  <c r="B159" i="1"/>
  <c r="A160" i="1"/>
  <c r="B160" i="1"/>
  <c r="A161" i="1"/>
  <c r="A162" i="1"/>
  <c r="B162" i="1"/>
  <c r="A163" i="1"/>
  <c r="A164" i="1"/>
  <c r="B164" i="1"/>
  <c r="A165" i="1"/>
  <c r="A166" i="1"/>
  <c r="A167" i="1"/>
  <c r="A168" i="1"/>
  <c r="B168" i="1"/>
  <c r="A169" i="1"/>
  <c r="B169" i="1"/>
  <c r="A170" i="1"/>
  <c r="A171" i="1"/>
  <c r="A172" i="1"/>
  <c r="A173" i="1"/>
  <c r="A174" i="1"/>
  <c r="B174" i="1"/>
  <c r="A175" i="1"/>
  <c r="B175" i="1"/>
  <c r="A176" i="1"/>
  <c r="B176" i="1"/>
  <c r="A177" i="1"/>
  <c r="B177" i="1"/>
  <c r="A178" i="1"/>
  <c r="B178" i="1"/>
  <c r="A179" i="1"/>
  <c r="B179" i="1"/>
  <c r="A180" i="1"/>
  <c r="A181" i="1"/>
  <c r="B181" i="1"/>
  <c r="A182" i="1"/>
  <c r="B182" i="1"/>
  <c r="A183" i="1"/>
  <c r="B183" i="1"/>
  <c r="A184" i="1"/>
  <c r="B184" i="1"/>
  <c r="A185" i="1"/>
  <c r="B185" i="1"/>
  <c r="A186" i="1"/>
  <c r="B186" i="1"/>
  <c r="A187" i="1"/>
  <c r="A188" i="1"/>
  <c r="A189" i="1"/>
  <c r="B189" i="1"/>
  <c r="A190" i="1"/>
  <c r="B190" i="1"/>
  <c r="A191" i="1"/>
  <c r="B191" i="1"/>
  <c r="A192" i="1"/>
  <c r="B192" i="1"/>
  <c r="A193" i="1"/>
  <c r="A194" i="1"/>
  <c r="A195" i="1"/>
  <c r="A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A216" i="1"/>
  <c r="A217" i="1"/>
  <c r="A218" i="1"/>
  <c r="A219" i="1"/>
  <c r="B219" i="1"/>
  <c r="A220" i="1"/>
  <c r="A221" i="1"/>
  <c r="A222" i="1"/>
  <c r="A223" i="1"/>
  <c r="A224" i="1"/>
  <c r="B224" i="1"/>
  <c r="A225" i="1"/>
  <c r="B225" i="1"/>
  <c r="A226" i="1"/>
  <c r="B226" i="1"/>
  <c r="A227" i="1"/>
  <c r="B227" i="1"/>
  <c r="A228" i="1"/>
  <c r="A229" i="1"/>
  <c r="B229" i="1"/>
  <c r="A230" i="1"/>
  <c r="B230" i="1"/>
  <c r="A231" i="1"/>
  <c r="A232" i="1"/>
  <c r="B232" i="1"/>
  <c r="A233" i="1"/>
  <c r="B233" i="1"/>
  <c r="A234" i="1"/>
  <c r="B234" i="1"/>
  <c r="A235" i="1"/>
  <c r="B235" i="1"/>
  <c r="A236" i="1"/>
  <c r="B236" i="1"/>
  <c r="A237" i="1"/>
  <c r="A238" i="1"/>
  <c r="B238" i="1"/>
  <c r="A239" i="1"/>
  <c r="B239" i="1"/>
  <c r="A240" i="1"/>
  <c r="B240" i="1"/>
  <c r="A241" i="1"/>
  <c r="B241" i="1"/>
  <c r="A242" i="1"/>
  <c r="B242" i="1"/>
  <c r="A243" i="1"/>
  <c r="B243" i="1"/>
  <c r="A244" i="1"/>
  <c r="B244" i="1"/>
  <c r="A245" i="1"/>
  <c r="B245" i="1"/>
  <c r="A246" i="1"/>
  <c r="B246" i="1"/>
  <c r="A247" i="1"/>
  <c r="A248" i="1"/>
  <c r="B248" i="1"/>
  <c r="A249" i="1"/>
  <c r="B249" i="1"/>
  <c r="A250" i="1"/>
  <c r="A251" i="1"/>
  <c r="B251" i="1"/>
  <c r="A252" i="1"/>
  <c r="B252" i="1"/>
  <c r="A253" i="1"/>
  <c r="B253" i="1"/>
  <c r="A254" i="1"/>
  <c r="A255" i="1"/>
  <c r="B255" i="1"/>
  <c r="A256" i="1"/>
  <c r="B256" i="1"/>
  <c r="A257" i="1"/>
  <c r="B257" i="1"/>
  <c r="A258" i="1"/>
  <c r="A259" i="1"/>
  <c r="B259" i="1"/>
  <c r="A260" i="1"/>
  <c r="B260" i="1"/>
  <c r="A261" i="1"/>
  <c r="B261" i="1"/>
  <c r="A262" i="1"/>
  <c r="B262" i="1"/>
  <c r="A263" i="1"/>
  <c r="B263" i="1"/>
  <c r="A264" i="1"/>
  <c r="B264" i="1"/>
  <c r="A265" i="1"/>
  <c r="B265" i="1"/>
  <c r="A266" i="1"/>
  <c r="B266" i="1"/>
  <c r="A267" i="1"/>
  <c r="A268" i="1"/>
  <c r="B268" i="1"/>
  <c r="A269" i="1"/>
  <c r="B269" i="1"/>
  <c r="A270" i="1"/>
  <c r="B270" i="1"/>
  <c r="A271" i="1"/>
  <c r="B271" i="1"/>
  <c r="A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A287" i="1"/>
  <c r="A288" i="1"/>
  <c r="B288" i="1"/>
  <c r="A289" i="1"/>
  <c r="B289" i="1"/>
  <c r="A290" i="1"/>
  <c r="B290" i="1"/>
  <c r="A291" i="1"/>
  <c r="B291" i="1"/>
  <c r="A292" i="1"/>
  <c r="B292" i="1"/>
  <c r="A293" i="1"/>
  <c r="B293" i="1"/>
  <c r="A294" i="1"/>
  <c r="B294" i="1"/>
  <c r="A295" i="1"/>
  <c r="A296" i="1"/>
  <c r="B296" i="1"/>
  <c r="A297" i="1"/>
  <c r="A298" i="1"/>
  <c r="A299" i="1"/>
  <c r="B299" i="1"/>
  <c r="A300" i="1"/>
  <c r="B300" i="1"/>
  <c r="A301" i="1"/>
  <c r="B301" i="1"/>
  <c r="A302" i="1"/>
  <c r="B302" i="1"/>
  <c r="A303" i="1"/>
  <c r="A304" i="1"/>
  <c r="B304" i="1"/>
  <c r="A305" i="1"/>
  <c r="A306" i="1"/>
  <c r="B306" i="1"/>
  <c r="A307" i="1"/>
  <c r="B307" i="1"/>
  <c r="A308" i="1"/>
  <c r="B308" i="1"/>
  <c r="A309" i="1"/>
  <c r="A310" i="1"/>
  <c r="B310" i="1"/>
  <c r="A311" i="1"/>
  <c r="A312" i="1"/>
  <c r="A313" i="1"/>
  <c r="B313" i="1"/>
  <c r="A314" i="1"/>
  <c r="B314" i="1"/>
  <c r="A315" i="1"/>
  <c r="B315" i="1"/>
  <c r="A316" i="1"/>
  <c r="A317" i="1"/>
  <c r="A318" i="1"/>
  <c r="B318" i="1"/>
  <c r="A319" i="1"/>
  <c r="A320" i="1"/>
  <c r="B320" i="1"/>
  <c r="A321" i="1"/>
  <c r="B321" i="1"/>
  <c r="A322" i="1"/>
  <c r="B322" i="1"/>
  <c r="A323" i="1"/>
  <c r="B323" i="1"/>
  <c r="A324" i="1"/>
  <c r="B324" i="1"/>
  <c r="A325" i="1"/>
  <c r="B325" i="1"/>
  <c r="A326" i="1"/>
  <c r="B326" i="1"/>
  <c r="A327" i="1"/>
  <c r="B327" i="1"/>
  <c r="A328" i="1"/>
  <c r="A329" i="1"/>
  <c r="A330" i="1"/>
  <c r="A331" i="1"/>
  <c r="A332" i="1"/>
  <c r="A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A347" i="1"/>
  <c r="B347" i="1"/>
  <c r="A348" i="1"/>
  <c r="B348" i="1"/>
  <c r="A349" i="1"/>
  <c r="B349" i="1"/>
  <c r="A350" i="1"/>
  <c r="B350" i="1"/>
  <c r="A351" i="1"/>
  <c r="B351" i="1"/>
  <c r="A352" i="1"/>
  <c r="B352" i="1"/>
  <c r="A353" i="1"/>
  <c r="A354" i="1"/>
  <c r="B354" i="1"/>
  <c r="A355" i="1"/>
  <c r="A356" i="1"/>
  <c r="B356" i="1"/>
  <c r="A357" i="1"/>
  <c r="B357" i="1"/>
  <c r="A358" i="1"/>
  <c r="B358" i="1"/>
  <c r="A359" i="1"/>
  <c r="B359" i="1"/>
  <c r="A360" i="1"/>
  <c r="B360" i="1"/>
  <c r="A361" i="1"/>
  <c r="A362" i="1"/>
  <c r="A363" i="1"/>
  <c r="A364" i="1"/>
  <c r="B364" i="1"/>
  <c r="A365" i="1"/>
  <c r="B365" i="1"/>
  <c r="A366" i="1"/>
  <c r="A367" i="1"/>
  <c r="B367" i="1"/>
  <c r="A368" i="1"/>
  <c r="B368" i="1"/>
  <c r="A369" i="1"/>
  <c r="A370" i="1"/>
  <c r="A371" i="1"/>
  <c r="A372" i="1"/>
  <c r="B372" i="1"/>
  <c r="A373" i="1"/>
  <c r="A374" i="1"/>
  <c r="A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A390" i="1"/>
  <c r="B390" i="1"/>
  <c r="A391" i="1"/>
  <c r="B391" i="1"/>
  <c r="A392" i="1"/>
  <c r="B392" i="1"/>
  <c r="A393" i="1"/>
  <c r="A394" i="1"/>
  <c r="B394" i="1"/>
  <c r="A395" i="1"/>
  <c r="B395" i="1"/>
  <c r="A396" i="1"/>
  <c r="B396" i="1"/>
  <c r="A397" i="1"/>
  <c r="B397" i="1"/>
  <c r="A398" i="1"/>
  <c r="B398" i="1"/>
  <c r="A399" i="1"/>
  <c r="A400" i="1"/>
  <c r="A401" i="1"/>
  <c r="A402" i="1"/>
  <c r="A403" i="1"/>
  <c r="A404" i="1"/>
  <c r="A405" i="1"/>
  <c r="A406" i="1"/>
  <c r="B406" i="1"/>
  <c r="A407" i="1"/>
  <c r="B407" i="1"/>
  <c r="A408" i="1"/>
  <c r="B408" i="1"/>
  <c r="A409" i="1"/>
  <c r="B409" i="1"/>
  <c r="A410" i="1"/>
  <c r="B410" i="1"/>
  <c r="A411" i="1"/>
  <c r="B411" i="1"/>
  <c r="A412" i="1"/>
  <c r="B412" i="1"/>
  <c r="A413" i="1"/>
  <c r="B413" i="1"/>
  <c r="A414" i="1"/>
  <c r="B414" i="1"/>
  <c r="A415" i="1"/>
  <c r="B415" i="1"/>
  <c r="A416" i="1"/>
  <c r="B416" i="1"/>
  <c r="A417" i="1"/>
  <c r="A418" i="1"/>
  <c r="B418" i="1"/>
  <c r="A419" i="1"/>
  <c r="B419" i="1"/>
  <c r="A420" i="1"/>
  <c r="A421" i="1"/>
  <c r="B421" i="1"/>
  <c r="A422" i="1"/>
  <c r="B422" i="1"/>
  <c r="A423" i="1"/>
  <c r="B423" i="1"/>
  <c r="A424" i="1"/>
  <c r="B424" i="1"/>
  <c r="A425" i="1"/>
  <c r="B425" i="1"/>
  <c r="A426" i="1"/>
  <c r="B426" i="1"/>
  <c r="A427" i="1"/>
  <c r="B427" i="1"/>
  <c r="A428" i="1"/>
  <c r="B428" i="1"/>
  <c r="A429" i="1"/>
  <c r="A430" i="1"/>
  <c r="A431" i="1"/>
  <c r="B431" i="1"/>
  <c r="A432" i="1"/>
  <c r="B432" i="1"/>
  <c r="A433" i="1"/>
  <c r="B433" i="1"/>
  <c r="A434" i="1"/>
  <c r="A435" i="1"/>
  <c r="B435" i="1"/>
  <c r="A436" i="1"/>
  <c r="B436" i="1"/>
  <c r="A437" i="1"/>
  <c r="B437" i="1"/>
  <c r="A438" i="1"/>
  <c r="A439" i="1"/>
  <c r="B439" i="1"/>
  <c r="A440" i="1"/>
  <c r="B440" i="1"/>
  <c r="A441" i="1"/>
  <c r="B441" i="1"/>
  <c r="A442" i="1"/>
  <c r="A443" i="1"/>
  <c r="B443" i="1"/>
  <c r="A444" i="1"/>
  <c r="B444" i="1"/>
  <c r="A445" i="1"/>
  <c r="B445" i="1"/>
  <c r="A446" i="1"/>
  <c r="B446" i="1"/>
  <c r="A447" i="1"/>
  <c r="A448" i="1"/>
  <c r="A449" i="1"/>
  <c r="A450" i="1"/>
  <c r="B450" i="1"/>
  <c r="A451" i="1"/>
  <c r="B451" i="1"/>
  <c r="A452" i="1"/>
  <c r="B452" i="1"/>
  <c r="A453" i="1"/>
  <c r="B453" i="1"/>
  <c r="A454" i="1"/>
  <c r="B454" i="1"/>
  <c r="A455" i="1"/>
  <c r="B455" i="1"/>
  <c r="A456" i="1"/>
  <c r="B456" i="1"/>
  <c r="A457" i="1"/>
  <c r="A458" i="1"/>
  <c r="B458" i="1"/>
  <c r="A459" i="1"/>
  <c r="A460" i="1"/>
  <c r="B460" i="1"/>
  <c r="A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A479" i="1"/>
  <c r="B479" i="1"/>
  <c r="A480" i="1"/>
  <c r="A481" i="1"/>
  <c r="B481" i="1"/>
  <c r="A482" i="1"/>
  <c r="A483" i="1"/>
  <c r="B483" i="1"/>
  <c r="A484" i="1"/>
  <c r="B484" i="1"/>
  <c r="A485" i="1"/>
  <c r="B485" i="1"/>
  <c r="A486" i="1"/>
  <c r="A487" i="1"/>
  <c r="B487" i="1"/>
  <c r="A488" i="1"/>
  <c r="A489" i="1"/>
  <c r="A490" i="1"/>
  <c r="A491" i="1"/>
  <c r="B491" i="1"/>
  <c r="A492" i="1"/>
  <c r="B492" i="1"/>
  <c r="A493" i="1"/>
  <c r="B493" i="1"/>
  <c r="A494" i="1"/>
  <c r="B494" i="1"/>
  <c r="A495" i="1"/>
  <c r="A496" i="1"/>
  <c r="B496" i="1"/>
  <c r="A497" i="1"/>
  <c r="B497" i="1"/>
  <c r="A498" i="1"/>
  <c r="B498" i="1"/>
  <c r="A499" i="1"/>
  <c r="B499" i="1"/>
  <c r="A500" i="1"/>
  <c r="B500" i="1"/>
  <c r="A501" i="1"/>
  <c r="B501" i="1"/>
  <c r="A502" i="1"/>
  <c r="A503" i="1"/>
  <c r="A504" i="1"/>
  <c r="A505" i="1"/>
  <c r="B505" i="1"/>
  <c r="A506" i="1"/>
  <c r="B506" i="1"/>
  <c r="A507" i="1"/>
  <c r="A508" i="1"/>
  <c r="B508" i="1"/>
  <c r="A509" i="1"/>
  <c r="B509" i="1"/>
  <c r="A510" i="1"/>
  <c r="A511" i="1"/>
  <c r="B511" i="1"/>
  <c r="A512" i="1"/>
  <c r="B512" i="1"/>
  <c r="A513" i="1"/>
  <c r="B513" i="1"/>
  <c r="A514" i="1"/>
  <c r="A515" i="1"/>
  <c r="A516" i="1"/>
  <c r="A517" i="1"/>
  <c r="A518" i="1"/>
  <c r="A519" i="1"/>
  <c r="B519" i="1"/>
  <c r="A520" i="1"/>
  <c r="B520" i="1"/>
  <c r="A521" i="1"/>
  <c r="B521" i="1"/>
  <c r="A522" i="1"/>
  <c r="B522" i="1"/>
  <c r="A523" i="1"/>
  <c r="B523" i="1"/>
  <c r="A524" i="1"/>
  <c r="B524" i="1"/>
  <c r="A525" i="1"/>
  <c r="B525" i="1"/>
  <c r="A526" i="1"/>
  <c r="B526" i="1"/>
  <c r="A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A541" i="1"/>
  <c r="A542" i="1"/>
  <c r="B542" i="1"/>
  <c r="A543" i="1"/>
  <c r="B543" i="1"/>
  <c r="A544" i="1"/>
  <c r="A545" i="1"/>
  <c r="B545" i="1"/>
  <c r="A546" i="1"/>
  <c r="B546" i="1"/>
  <c r="A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A565" i="1"/>
  <c r="A566" i="1"/>
  <c r="A567" i="1"/>
  <c r="B567" i="1"/>
  <c r="A568" i="1"/>
  <c r="A569" i="1"/>
  <c r="A570" i="1"/>
  <c r="A571" i="1"/>
  <c r="A572" i="1"/>
  <c r="A573" i="1"/>
  <c r="B573" i="1"/>
  <c r="A574" i="1"/>
  <c r="A575" i="1"/>
  <c r="A576" i="1"/>
  <c r="A577" i="1"/>
  <c r="B577" i="1"/>
  <c r="A578" i="1"/>
  <c r="B578" i="1"/>
  <c r="A579" i="1"/>
  <c r="B579" i="1"/>
  <c r="A580" i="1"/>
  <c r="B580" i="1"/>
  <c r="A581" i="1"/>
  <c r="B581" i="1"/>
  <c r="A582" i="1"/>
  <c r="A583" i="1"/>
  <c r="A584" i="1"/>
  <c r="A585" i="1"/>
  <c r="B585" i="1"/>
  <c r="A586" i="1"/>
  <c r="B586" i="1"/>
  <c r="A587" i="1"/>
  <c r="B587" i="1"/>
  <c r="A588" i="1"/>
  <c r="B588" i="1"/>
  <c r="A589" i="1"/>
  <c r="B589" i="1"/>
  <c r="A590" i="1"/>
  <c r="B590" i="1"/>
  <c r="A591" i="1"/>
  <c r="B591" i="1"/>
  <c r="A592" i="1"/>
  <c r="A593" i="1"/>
  <c r="B593" i="1"/>
  <c r="A594" i="1"/>
  <c r="A595" i="1"/>
  <c r="B595" i="1"/>
  <c r="A596" i="1"/>
  <c r="B596" i="1"/>
  <c r="A597" i="1"/>
  <c r="A598" i="1"/>
  <c r="B598" i="1"/>
  <c r="A599" i="1"/>
  <c r="B599" i="1"/>
  <c r="A600" i="1"/>
  <c r="A601" i="1"/>
  <c r="A602" i="1"/>
  <c r="A603" i="1"/>
  <c r="B603" i="1"/>
  <c r="A604" i="1"/>
  <c r="B604" i="1"/>
  <c r="A605" i="1"/>
  <c r="A606" i="1"/>
  <c r="B606" i="1"/>
  <c r="A607" i="1"/>
  <c r="B607" i="1"/>
  <c r="A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A622" i="1"/>
  <c r="B622" i="1"/>
  <c r="A623" i="1"/>
  <c r="B623" i="1"/>
  <c r="A624" i="1"/>
  <c r="B624" i="1"/>
  <c r="A625" i="1"/>
  <c r="B625" i="1"/>
  <c r="A626" i="1"/>
  <c r="B626" i="1"/>
  <c r="A627" i="1"/>
  <c r="B627" i="1"/>
  <c r="A628" i="1"/>
  <c r="A629" i="1"/>
  <c r="B629" i="1"/>
  <c r="A630" i="1"/>
  <c r="B630" i="1"/>
  <c r="A631" i="1"/>
  <c r="B631" i="1"/>
  <c r="A632" i="1"/>
  <c r="B632" i="1"/>
  <c r="A633" i="1"/>
  <c r="B633" i="1"/>
  <c r="A634" i="1"/>
  <c r="B634" i="1"/>
  <c r="A635" i="1"/>
  <c r="B635" i="1"/>
  <c r="A636" i="1"/>
  <c r="B636" i="1"/>
  <c r="A637" i="1"/>
  <c r="A638" i="1"/>
  <c r="B638" i="1"/>
  <c r="A639" i="1"/>
  <c r="B639" i="1"/>
  <c r="A640" i="1"/>
  <c r="B640" i="1"/>
  <c r="A641" i="1"/>
  <c r="B641" i="1"/>
  <c r="A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A657" i="1"/>
  <c r="B657" i="1"/>
  <c r="A658" i="1"/>
  <c r="B658" i="1"/>
  <c r="A659" i="1"/>
  <c r="B659" i="1"/>
  <c r="A660" i="1"/>
  <c r="B660" i="1"/>
  <c r="A661" i="1"/>
  <c r="A662" i="1"/>
  <c r="A663" i="1"/>
  <c r="B663" i="1"/>
  <c r="A664" i="1"/>
  <c r="A665" i="1"/>
  <c r="B665" i="1"/>
  <c r="A666" i="1"/>
  <c r="B666" i="1"/>
  <c r="A667" i="1"/>
  <c r="B667" i="1"/>
  <c r="A668" i="1"/>
  <c r="B668" i="1"/>
  <c r="A669" i="1"/>
  <c r="A670" i="1"/>
  <c r="A671" i="1"/>
  <c r="A672" i="1"/>
  <c r="B672" i="1"/>
  <c r="A673" i="1"/>
  <c r="B673" i="1"/>
  <c r="A674" i="1"/>
  <c r="B674" i="1"/>
  <c r="A675" i="1"/>
  <c r="B675" i="1"/>
  <c r="A676" i="1"/>
  <c r="B676" i="1"/>
  <c r="A677" i="1"/>
  <c r="B677" i="1"/>
  <c r="A678" i="1"/>
  <c r="A679" i="1"/>
  <c r="B679" i="1"/>
  <c r="A680" i="1"/>
  <c r="B680" i="1"/>
  <c r="A681" i="1"/>
  <c r="B681" i="1"/>
  <c r="A682" i="1"/>
  <c r="A683" i="1"/>
  <c r="A684" i="1"/>
  <c r="B684" i="1"/>
  <c r="A685" i="1"/>
  <c r="B685" i="1"/>
  <c r="A686" i="1"/>
  <c r="B686" i="1"/>
  <c r="A687" i="1"/>
  <c r="B687" i="1"/>
  <c r="A688" i="1"/>
  <c r="B688" i="1"/>
  <c r="A689" i="1"/>
  <c r="B689" i="1"/>
  <c r="A690" i="1"/>
  <c r="A691" i="1"/>
  <c r="B691" i="1"/>
  <c r="A692" i="1"/>
  <c r="A693" i="1"/>
  <c r="B693" i="1"/>
  <c r="A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A719" i="1"/>
  <c r="B719" i="1"/>
  <c r="A720" i="1"/>
  <c r="A721" i="1"/>
  <c r="A722" i="1"/>
  <c r="A723" i="1"/>
  <c r="B723" i="1"/>
  <c r="A724" i="1"/>
  <c r="B724" i="1"/>
  <c r="A725" i="1"/>
  <c r="A726" i="1"/>
  <c r="B726" i="1"/>
  <c r="A727" i="1"/>
  <c r="B727" i="1"/>
  <c r="A728" i="1"/>
  <c r="B728" i="1"/>
  <c r="A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A745" i="1"/>
  <c r="B745" i="1"/>
  <c r="A746" i="1"/>
  <c r="B746" i="1"/>
  <c r="A747" i="1"/>
  <c r="A748" i="1"/>
  <c r="A749" i="1"/>
  <c r="B749" i="1"/>
  <c r="A750" i="1"/>
  <c r="A751" i="1"/>
  <c r="B751" i="1"/>
  <c r="A752" i="1"/>
  <c r="B752" i="1"/>
  <c r="A753" i="1"/>
  <c r="B753" i="1"/>
  <c r="A754" i="1"/>
  <c r="A755" i="1"/>
  <c r="B755" i="1"/>
  <c r="A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A776" i="1"/>
  <c r="B776" i="1"/>
  <c r="A777" i="1"/>
  <c r="B777" i="1"/>
  <c r="A778" i="1"/>
  <c r="B778" i="1"/>
  <c r="A779" i="1"/>
  <c r="B779" i="1"/>
  <c r="A780" i="1"/>
  <c r="B780" i="1"/>
  <c r="A781" i="1"/>
  <c r="B781" i="1"/>
  <c r="A782" i="1"/>
  <c r="A783" i="1"/>
  <c r="B783" i="1"/>
  <c r="A784" i="1"/>
  <c r="B784" i="1"/>
  <c r="A785" i="1"/>
  <c r="B785" i="1"/>
  <c r="A786" i="1"/>
  <c r="B786" i="1"/>
  <c r="A787" i="1"/>
  <c r="B787" i="1"/>
  <c r="A788" i="1"/>
  <c r="B788" i="1"/>
  <c r="A789" i="1"/>
  <c r="A790" i="1"/>
  <c r="A791" i="1"/>
  <c r="B791" i="1"/>
  <c r="A792" i="1"/>
  <c r="B792" i="1"/>
  <c r="A793" i="1"/>
  <c r="B793" i="1"/>
  <c r="A794" i="1"/>
  <c r="B794" i="1"/>
  <c r="A795" i="1"/>
  <c r="A796" i="1"/>
  <c r="B796" i="1"/>
  <c r="A797" i="1"/>
  <c r="A798" i="1"/>
  <c r="B798" i="1"/>
  <c r="A799" i="1"/>
  <c r="A800" i="1"/>
  <c r="B800" i="1"/>
  <c r="A801" i="1"/>
  <c r="B801" i="1"/>
  <c r="A802" i="1"/>
  <c r="B802" i="1"/>
  <c r="A803" i="1"/>
  <c r="B803" i="1"/>
  <c r="A804" i="1"/>
  <c r="A805" i="1"/>
  <c r="B805" i="1"/>
  <c r="A806" i="1"/>
  <c r="B806" i="1"/>
  <c r="A807" i="1"/>
  <c r="A808" i="1"/>
  <c r="B808" i="1"/>
  <c r="A809" i="1"/>
  <c r="B809" i="1"/>
  <c r="A810" i="1"/>
  <c r="B810" i="1"/>
  <c r="A811" i="1"/>
  <c r="B811" i="1"/>
  <c r="A812" i="1"/>
  <c r="B812" i="1"/>
  <c r="A813" i="1"/>
  <c r="B813" i="1"/>
  <c r="A814" i="1"/>
  <c r="B814" i="1"/>
  <c r="A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A834" i="1"/>
  <c r="A835" i="1"/>
  <c r="B835" i="1"/>
  <c r="A836" i="1"/>
  <c r="A837" i="1"/>
  <c r="B837" i="1"/>
  <c r="A838" i="1"/>
  <c r="A839" i="1"/>
  <c r="B839" i="1"/>
  <c r="A840" i="1"/>
  <c r="B840" i="1"/>
  <c r="A841" i="1"/>
  <c r="B841" i="1"/>
  <c r="A842" i="1"/>
  <c r="B842" i="1"/>
  <c r="A843" i="1"/>
  <c r="A844" i="1"/>
  <c r="B844" i="1"/>
  <c r="A845" i="1"/>
  <c r="B845" i="1"/>
  <c r="A846" i="1"/>
  <c r="A847" i="1"/>
  <c r="B847" i="1"/>
  <c r="A848" i="1"/>
  <c r="B848" i="1"/>
  <c r="A849" i="1"/>
  <c r="B849" i="1"/>
  <c r="A850" i="1"/>
  <c r="B850" i="1"/>
  <c r="A851" i="1"/>
  <c r="B851" i="1"/>
  <c r="A852" i="1"/>
  <c r="B852" i="1"/>
  <c r="A853" i="1"/>
  <c r="B853" i="1"/>
  <c r="A854" i="1"/>
  <c r="B854" i="1"/>
  <c r="A855" i="1"/>
  <c r="B855" i="1"/>
  <c r="A856" i="1"/>
  <c r="A857" i="1"/>
  <c r="B857" i="1"/>
  <c r="A858" i="1"/>
  <c r="B858" i="1"/>
  <c r="A859" i="1"/>
  <c r="B859" i="1"/>
  <c r="A860" i="1"/>
  <c r="B860" i="1"/>
  <c r="A861" i="1"/>
  <c r="A862" i="1"/>
  <c r="A863" i="1"/>
  <c r="B863" i="1"/>
  <c r="A864" i="1"/>
  <c r="B864" i="1"/>
  <c r="A865" i="1"/>
  <c r="B865" i="1"/>
  <c r="A866" i="1"/>
  <c r="A867" i="1"/>
  <c r="A868" i="1"/>
  <c r="B868" i="1"/>
  <c r="A869" i="1"/>
  <c r="A870" i="1"/>
  <c r="B870" i="1"/>
  <c r="A871" i="1"/>
  <c r="A872" i="1"/>
  <c r="B872" i="1"/>
  <c r="A873" i="1"/>
  <c r="B873" i="1"/>
  <c r="A874" i="1"/>
  <c r="B874" i="1"/>
  <c r="A875" i="1"/>
  <c r="B875" i="1"/>
  <c r="A876" i="1"/>
  <c r="B876" i="1"/>
  <c r="A877" i="1"/>
  <c r="B877" i="1"/>
  <c r="A878" i="1"/>
  <c r="B878" i="1"/>
  <c r="A879" i="1"/>
  <c r="A880" i="1"/>
  <c r="B880" i="1"/>
  <c r="A881" i="1"/>
  <c r="B881" i="1"/>
  <c r="A882" i="1"/>
  <c r="B882" i="1"/>
  <c r="A883" i="1"/>
  <c r="B883" i="1"/>
  <c r="A884" i="1"/>
  <c r="A885" i="1"/>
  <c r="A886" i="1"/>
  <c r="A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A903" i="1"/>
  <c r="A904" i="1"/>
  <c r="A905" i="1"/>
  <c r="B905" i="1"/>
  <c r="A906" i="1"/>
  <c r="B906" i="1"/>
  <c r="A907" i="1"/>
  <c r="A908" i="1"/>
  <c r="B908" i="1"/>
  <c r="A909" i="1"/>
  <c r="B909" i="1"/>
  <c r="A910" i="1"/>
  <c r="B910" i="1"/>
  <c r="A911" i="1"/>
  <c r="B911" i="1"/>
  <c r="A912" i="1"/>
  <c r="B912" i="1"/>
  <c r="A913" i="1"/>
  <c r="B913" i="1"/>
  <c r="A914" i="1"/>
  <c r="B914" i="1"/>
  <c r="A915" i="1"/>
  <c r="A916" i="1"/>
  <c r="B916" i="1"/>
  <c r="A917" i="1"/>
  <c r="B917" i="1"/>
  <c r="A918" i="1"/>
  <c r="B918" i="1"/>
  <c r="A919" i="1"/>
  <c r="B919" i="1"/>
  <c r="A920" i="1"/>
  <c r="A921" i="1"/>
  <c r="B921" i="1"/>
  <c r="A922" i="1"/>
  <c r="B922" i="1"/>
  <c r="A923" i="1"/>
  <c r="A924" i="1"/>
  <c r="B924" i="1"/>
  <c r="A925" i="1"/>
  <c r="B925" i="1"/>
  <c r="A926" i="1"/>
  <c r="B926" i="1"/>
  <c r="A927" i="1"/>
  <c r="B927" i="1"/>
  <c r="A928" i="1"/>
  <c r="B928" i="1"/>
  <c r="A929" i="1"/>
  <c r="B929" i="1"/>
  <c r="A930" i="1"/>
  <c r="B930" i="1"/>
  <c r="A931" i="1"/>
  <c r="B931" i="1"/>
  <c r="A932" i="1"/>
  <c r="B932" i="1"/>
  <c r="A933" i="1"/>
  <c r="B933" i="1"/>
  <c r="A934" i="1"/>
  <c r="A935" i="1"/>
  <c r="A936" i="1"/>
  <c r="B936" i="1"/>
  <c r="A937" i="1"/>
  <c r="B937" i="1"/>
  <c r="A938" i="1"/>
  <c r="B938" i="1"/>
  <c r="A939" i="1"/>
  <c r="A940" i="1"/>
  <c r="A941" i="1"/>
  <c r="A942" i="1"/>
  <c r="A943" i="1"/>
  <c r="A944" i="1"/>
  <c r="B944" i="1"/>
  <c r="A945" i="1"/>
  <c r="B945" i="1"/>
  <c r="A946" i="1"/>
  <c r="B946" i="1"/>
  <c r="A947" i="1"/>
  <c r="B947" i="1"/>
  <c r="A948" i="1"/>
  <c r="B948" i="1"/>
  <c r="A949" i="1"/>
  <c r="B949" i="1"/>
  <c r="A950" i="1"/>
  <c r="B950" i="1"/>
  <c r="A951" i="1"/>
  <c r="B951" i="1"/>
  <c r="A952" i="1"/>
  <c r="B952" i="1"/>
  <c r="A953" i="1"/>
  <c r="A954" i="1"/>
  <c r="A955" i="1"/>
  <c r="B955" i="1"/>
  <c r="A956" i="1"/>
  <c r="B956" i="1"/>
  <c r="A957" i="1"/>
  <c r="B957" i="1"/>
  <c r="A958" i="1"/>
  <c r="B958" i="1"/>
  <c r="A959" i="1"/>
  <c r="B959" i="1"/>
  <c r="A960" i="1"/>
  <c r="A961" i="1"/>
  <c r="A962" i="1"/>
  <c r="A963" i="1"/>
  <c r="A964" i="1"/>
  <c r="B964" i="1"/>
  <c r="A965" i="1"/>
  <c r="B965" i="1"/>
  <c r="A966" i="1"/>
  <c r="A967" i="1"/>
  <c r="A968" i="1"/>
  <c r="B968" i="1"/>
  <c r="A969" i="1"/>
  <c r="B969" i="1"/>
  <c r="A970" i="1"/>
  <c r="B970" i="1"/>
  <c r="A971" i="1"/>
  <c r="B971" i="1"/>
  <c r="A972" i="1"/>
  <c r="A973" i="1"/>
  <c r="B973" i="1"/>
  <c r="A974" i="1"/>
  <c r="A975" i="1"/>
  <c r="A976" i="1"/>
  <c r="B976" i="1"/>
  <c r="A977" i="1"/>
  <c r="B977" i="1"/>
  <c r="A978" i="1"/>
  <c r="B978" i="1"/>
  <c r="A979" i="1"/>
  <c r="B979" i="1"/>
  <c r="A980" i="1"/>
  <c r="B980" i="1"/>
  <c r="A981" i="1"/>
  <c r="B981" i="1"/>
  <c r="A982" i="1"/>
  <c r="A983" i="1"/>
  <c r="A984" i="1"/>
  <c r="A985" i="1"/>
  <c r="B985" i="1"/>
  <c r="A986" i="1"/>
  <c r="B986" i="1"/>
  <c r="A987" i="1"/>
  <c r="B987" i="1"/>
  <c r="A988" i="1"/>
  <c r="B988" i="1"/>
  <c r="A989" i="1"/>
  <c r="B989" i="1"/>
  <c r="A990" i="1"/>
  <c r="A991" i="1"/>
  <c r="A992" i="1"/>
  <c r="A993" i="1"/>
  <c r="B993" i="1"/>
  <c r="A994" i="1"/>
  <c r="B994" i="1"/>
  <c r="A995" i="1"/>
  <c r="A996" i="1"/>
  <c r="A997" i="1"/>
  <c r="A998" i="1"/>
  <c r="B998" i="1"/>
  <c r="A999" i="1"/>
  <c r="B999" i="1"/>
  <c r="A1000" i="1"/>
  <c r="B1000" i="1"/>
  <c r="A1001" i="1"/>
  <c r="B1001" i="1"/>
  <c r="A1002" i="1"/>
  <c r="B1002" i="1"/>
  <c r="A1003" i="1"/>
  <c r="B1003" i="1"/>
  <c r="A1004" i="1"/>
  <c r="B1004" i="1"/>
  <c r="A1005" i="1"/>
  <c r="B1005" i="1"/>
  <c r="A1006" i="1"/>
  <c r="B1006" i="1"/>
  <c r="A1007" i="1"/>
  <c r="A1008" i="1"/>
  <c r="A1009" i="1"/>
  <c r="A1010" i="1"/>
  <c r="B1010" i="1"/>
  <c r="A1011" i="1"/>
  <c r="B1011" i="1"/>
  <c r="A1012" i="1"/>
  <c r="B1012" i="1"/>
  <c r="A1013" i="1"/>
  <c r="B1013" i="1"/>
  <c r="A1014" i="1"/>
  <c r="A1015" i="1"/>
  <c r="A1016" i="1"/>
  <c r="B1016" i="1"/>
  <c r="A1017" i="1"/>
  <c r="B1017" i="1"/>
  <c r="A1018" i="1"/>
  <c r="B1018" i="1"/>
  <c r="A1019" i="1"/>
  <c r="B1019" i="1"/>
  <c r="A1020" i="1"/>
  <c r="B1020" i="1"/>
  <c r="A1021" i="1"/>
  <c r="A1022" i="1"/>
  <c r="B1022" i="1"/>
  <c r="A1023" i="1"/>
  <c r="B1023" i="1"/>
  <c r="A1024" i="1"/>
  <c r="A1025" i="1"/>
  <c r="A1026" i="1"/>
  <c r="B1026" i="1"/>
  <c r="A1027" i="1"/>
  <c r="B1027" i="1"/>
  <c r="A1028" i="1"/>
  <c r="B1028" i="1"/>
  <c r="A1029" i="1"/>
</calcChain>
</file>

<file path=xl/sharedStrings.xml><?xml version="1.0" encoding="utf-8"?>
<sst xmlns="http://schemas.openxmlformats.org/spreadsheetml/2006/main" count="284" uniqueCount="113">
  <si>
    <t>Produced:</t>
  </si>
  <si>
    <t>Mois(C):</t>
  </si>
  <si>
    <t>Annee(C):</t>
  </si>
  <si>
    <t>BUREAU(C):</t>
  </si>
  <si>
    <t>SYSCOM(C):</t>
  </si>
  <si>
    <t>FLUX(C):</t>
  </si>
  <si>
    <t>PROVDEST(C):</t>
  </si>
  <si>
    <t>PARTENAIRE(B):</t>
  </si>
  <si>
    <t>Y Axis (1)</t>
  </si>
  <si>
    <t>PRODUIT(B):</t>
  </si>
  <si>
    <t>Y Axis (2)</t>
  </si>
  <si>
    <t>INDICATORS(B):</t>
  </si>
  <si>
    <t>X Axis (1)</t>
  </si>
  <si>
    <t>=t("   POISSONS D'EAU DOUCE ET DE MER, COMESTIBLES, CONGELÉS (À L'EXCL. DES SALMONIDÉS, DES POISSONS PLATS, DES THONS, DES LISTAOS OU BONITES À VENTRE RAYÉ, DES HARENGS, DES MORUES, DES ESPADONS, DES LÉGINES, DES SARDINES, DES SARDINELLES, DES SPRATS OU E</t>
  </si>
  <si>
    <t>=t("   Racines d'arrow-root ou de salep, topinambours et racines et tubercules simil. à haute teneur en fécule ou en inuline, frais, réfrigérés, congelés ou séchés, même débités en morceaux ou agglomérés sous forme de pellets et moelle de sagoutier (à l'e</t>
  </si>
  <si>
    <t>=t("   AGRUMES, FRAIS OU SECS (À L'EXCL. DES ORANGES, DES CITRONS 'CITRUS LIMON, CITRUS LIMONUM', DES LIMES 'CITRUS AURANTIFOLIA, CITRUS LATIFOLIA', DES PAMPLEMOUSSES, DES POMÉLOS, DES MANDARINES - Y.C. LES TANGERINES ET LES SATSUMAS -, DES CLÉMENTINES, D</t>
  </si>
  <si>
    <t>=t("   GRAINES ET FRUITS OLÉAGINEUX, MÊME CONCASSÉS (À L'EXCL. DES FRUITS À COQUE COMESTIBLES, DES OLIVES, DES FÈVES DE SOJA, DES ARACHIDES, DU COPRAH ET DES GRAINES DE LIN, DE NAVETTE, DE COLZA, DE TOURNESOL, DE COTON, DE SÉSAME, DE MOUTARDE, D'OEILLETTE</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</si>
  <si>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</si>
  <si>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</si>
  <si>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=t("   Préparations alimentaires de farines, gruaux, semoules, amidons, fécules ou extraits de malt, ne contenant pas de cacao ou contenant &lt; 40% en poids de cacao calculés sur une base entièrement dégraissée, n.d.a.; préparations alimentaires à base de l</t>
  </si>
  <si>
    <t>=t("   Produits de la boulangerie, pâtisserie ou biscuiterie, même additionnés de cacao, hosties, cachets vides des types utilisés pour médicaments, pains à cacheter, pâtes séchées de farine, d'amidon ou de fécule en feuilles et produits simil. (sauf pain</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</si>
  <si>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</si>
  <si>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</si>
  <si>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TOURTEAUX ET AUTRES RÉSIDUS SOLIDES, MÊME BROYÉS OU AGGLOMÉRÉS SOUS FORME DE PELLETS, DE L'EXTRACTION DES GRAISSES OU HUILES DE NAVETTE OU DE COLZA D'UNE TENEUR ÉLEVÉE EN ACIDE ÉRUCIQUE 'FOURNISSANT UNE HUILE FIXE DONT LA TENEUR EN ACIDE ÉRUCIQUE E</t>
  </si>
  <si>
    <t xml:space="preserve">=t("   Tourteaux et autres résidus solides, même broyés ou agglomérés sous forme de pellets, de l'extraction de graisses ou huiles végétales (à l'excl. des tourteaux et autres résidus solides de l'extraction des graisses ou huiles de soja, d'arachide, de </t>
  </si>
  <si>
    <t>=t("   Ecaussines et autres pierres calcaires de taille ou de construction, d'une densité apparente &gt;= 2,5, et albâtre, même dégrossis ou simplement débités, par sciage ou autrement, en blocs ou en plaques de forme carrée ou rectangulaire (à l'excl. des m</t>
  </si>
  <si>
    <t>=t("   Porphyre, basalte et autres pierres de taille ou de construction, même dégrossis ou simplement débités, en blocs ou en plaques de forme carrée ou rectangulaire (sauf granit, grès, pierres présentées sous la forme de granulés, d'éclats ou de poudres</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</si>
  <si>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</si>
  <si>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provitamines, des vitamines, y.c. les concentrats naturels, ou des dérivés de ces produits utilisés principalement en tant que vitamines, présentés sous forme de doses [y.c. ceux destinés à être administrés par voie percut</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</si>
  <si>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</si>
  <si>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</si>
  <si>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</si>
  <si>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</si>
  <si>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</si>
  <si>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(à l'excl. des pr</t>
  </si>
  <si>
    <t>=t("   PRÉPARATIONS CHIMIQUES POUR USAGES PHOTOGRAPHIQUES, Y.C. LES PRODUITS NON-MÉLANGÉS, SOIT DOSÉS EN VUE D'USAGES PHOTOGRAPHIQUES, SOIT CONDITIONNÉS POUR LA VENTE AU DÉTAIL POUR CES MÊMES USAGES ET PRÊTS À L'EMPLOI (À L'EXCL. DES VERNIS, COLLES, ADHÉS</t>
  </si>
  <si>
    <t>=t("   Plaques, feuilles, bandes, rubans, pellicules et autres formes plates, auto-adhésifs, en matières plastiques, même en rouleaux (à l'excl. des produits en rouleaux d'une largeur &lt;= 20 cm ainsi que des revêtements de sols, de murs ou de plafonds du n</t>
  </si>
  <si>
    <t>=t("   Articles de ménage ou d'économie domestique et articles d'hygiène ou de toilette, en matières plastiques (à l'excl. de la vaisselle et des articles pour usages sanitaires ou hygiéniques tels que baignoires, douches, lavabos, bidets, réservoirs de c</t>
  </si>
  <si>
    <t>=t("   Malles, valises et mallettes, y.c. les mallettes de toilette et mallettes porte-documents, serviettes, cartables et contenants simil. (à l'excl. des articles à surface extérieure en cuir naturel, reconstitué ou verni, en matières plastiques ou en m</t>
  </si>
  <si>
    <t>=t("   Sacs de voyage, sacs isolants pour produits alimentaires et boissons, trousses de toilette, sacs à dos, sacs à provisions, porte-cartes, trousses à outils, sacs pour articles de sport, boîtes pour bijoux, écrins pour orfèvrerie et étuis pour jumell</t>
  </si>
  <si>
    <t>=t("   Sacs de voyage, trousses de toilette, sacs à dos, sacs à provisions, porte-cartes, trousses à outils, sacs pour articles de sport, boîtes pour bijoux, écrins pour orfèvrerie et étuis pour jumelles, appareils photographiques, caméras, instruments de</t>
  </si>
  <si>
    <t>=t("   Bois bruts, traités avec une peinture, de la créosote ou d'autres agents de conservation (à l'excl. des bois simplement dégrossis ou arrondis pour cannes, parapluies, manches d'outils ou simil., des traverses en bois pour voies ferrées ou simil. ai</t>
  </si>
  <si>
    <t>=t("   BOIS BRUTS DE CONIFÈRES, MÊME ÉCORCÉS, DÉSAUBIÉRÉS OU ÉQUARRIS (À L'EXCL. DES BOIS TRAITÉS AVEC UNE PEINTURE, DE LA CRÉOSOTE OU D'AUTRES AGENTS DE CONSERVATION, DES BOIS SIMPL. DÉGROSSIS OU ARRONDIS POUR CANNES, PARAPLUIES, MANCHES D'OUTILS OU SIMI</t>
  </si>
  <si>
    <t>=t("   Bois bruts des bois tropicaux visés à la note 1 de sous-position du présent chapitre, même écorcés, désaubiérés ou équarris (à l'excl. des bois de dark red meranti, light red meranti, meranti bakau, des bois traités avec une peinture, de la créosot</t>
  </si>
  <si>
    <t xml:space="preserve">=t("   BOIS BRUTS, MÊME ÉCORCÉS, DÉSAUBIÉRÉS OU ÉQUARRIS (SAUF BOIS DE CONIFÈRES, BOIS DE CHÊNE 'QUERCUS SPP.' OU DE HÊTRE 'FAGUS SPP.', BOIS TROPICAUX VISÉS À LA NOTE 1 DE SOUS-POSITION DU PRÉSENT CHAPITRE, BOIS SIMPL. DÉGROSSIS OU ARRONDIS POUR CANNES, </t>
  </si>
  <si>
    <t>=t("   Bois feuillards; échalas fendus; pieux et piquets en bois, appointés, non sciés longitudinalement; bois simplement dégrossis ou arrondis, non tournés ni courbés ni autrement travaillés, pour cannes, parapluies, manches d'outils ou simil.; bois en l</t>
  </si>
  <si>
    <t xml:space="preserve">=t("   Bois feuillards; échalas fendus; pieux et piquets en bois, appointés, non sciés longitudinalement; bois dégrossis ou arrondis, non tournés ni courbés ni autrement travaillés, pour cannes, manches d'outils ou simil.; bois en lames, rubans et simil. </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</si>
  <si>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</si>
  <si>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</si>
  <si>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FEUILLES POUR PLACAGE - Y.C. CELLES OBTENUES PAR TRANCHAGE DE BOIS STRATIFIÉ -,  FEUILLES POUR CONTRE-PLAQUÉS OU POUR AUTRES BOIS STRATIFIÉS SIMIL. ET AUTRES BOIS SCIÉS LONGITUDINALEMENT, TRANCHÉS OU DÉROULÉS, MÊME RABOTÉS, PONCÉS, ASSEMBLÉS BORD À</t>
  </si>
  <si>
    <t xml:space="preserve">=t("   BOIS, Y.C. LES LAMES ET FRISES POUR PARQUETS, NON-ASSEMBLÉES, PROFILÉS "LANGUETÉS, RAINÉS, BOUVETÉS, FEUILLURÉS, CHANFREINÉS, JOINTS EN V, MOULURÉS, ARRONDIS OU SIMIL." TOUT AU LONG D'UNE OU DE PLUSIEURS RIVES, FACES OU BOUTS, MÊME RABOTÉS, PONCÉS </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</si>
  <si>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</si>
  <si>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TIMBRES-POSTE, TIMBRES FISCAUX ET ANALOGUES, NON-OBLITÉRÉS, AYANT COURS OU DESTINÉS À AVOIR COURS DANS LE PAYS DANS LEQUEL ILS ONT,  OU AURONT, UNE VALEUR FACIALE RECONNUE; PAPIER TIMBRÉ; BILLETS DE BANQUE; CHÈQUES; TITRES D'ACTIONS OU D'OBLIGATION</t>
  </si>
  <si>
    <t xml:space="preserve">=t("   Fils simples de coton, en fibres non peignées, contenant &gt;= 85% en poids de coton, titrant &gt;= 232,56 décitex mais &lt; 714,29 décitex [&gt; 14 numéros métriques mais &lt;= 43 numéros métriques] (sauf les fils à coudre et les fils conditionnés pour la vente </t>
  </si>
  <si>
    <t>=t("   PANTALONS, Y.C. KNICKERS ET PANTALONS SIMIL., ET CULOTTES, SALOPETTES À BRETELLES ET SHORTS, EN BONNETERIE, DE MATIÈRES TEXTILES, POUR FEMMES OU FILLETTES (SAUF DE LAINE, POILS FINS, COTON, FIBRES SYNTHÉTIQUES ET SAUF SLIPS ET MAILLOTS, CULOTTES ET</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</si>
  <si>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</si>
  <si>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</si>
  <si>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</si>
  <si>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à semelles extérieures en caoutchouc ou en matière plastique et à dessus en matières textiles (sauf chaussures de sport, y.c. chaussures dites de tennis, de basket-ball, de gymnastique, d'entraînement et chaussures simil. ainsi que chaus</t>
  </si>
  <si>
    <t>=t("   Chapeaux et autres coiffures en bonneterie ou confectionnés à l'aide de dentelles, feutre ou autres produits textiles, en pièces -mais non en bandes-, même garnis (sauf résilles, filets à cheveux et coiffures pour animaux ou ayant le caractère de j</t>
  </si>
  <si>
    <t>=t("   Pierres de taille ou de construction, naturelles, autres que les pierres calcaires, le granit et l'ardoise et ouvrages en ces pierres, simplement taillées ou sciées et à surface plane ou unie (sauf à surface entièrement ou partiellement rabotée, po</t>
  </si>
  <si>
    <t>=t("   Vaisselle, autres articles de ménage ou d'économie domestique et articles d'hygiène ou de toilette en céramique, autres que la porcelaine (sauf baignoires, bidets, éviers et autres appareils fixes simil.; statuettes et autres objets d'ornementation</t>
  </si>
  <si>
    <t>=t("   Bonbonnes, bouteilles, flacons, bocaux, pots, emballages tubulaires et autres récipients en verre pour le transport ou l'emballage commercial et bocaux à conserves en verre (sauf ampoules, bouteilles isolantes et récipients dont l'isolation est ass</t>
  </si>
  <si>
    <t>=t("   Pierres de bijouterie et simil., synthétiques ou reconstituées, travaillées, même assorties, mais non enfilées, ni montées, ni serties et pierres de bijouterie et simil., synthétiques ou reconstituées, travaillées mais non assorties et enfilées tem</t>
  </si>
  <si>
    <t>=t("   DÉCHETS ET DÉBRIS DE FER OU D'ACIER [FERRAILLES] (SAUF DÉCHETS ET DÉBRIS RADIOACTIFS ET DE PILES, DE BATTERIES DE PILES ET D'ACCUMULATEURS ÉLECTRIQUES; SCORIES, LAITIERS ET AUTRES DÉCHETS DE LA FABRICATION DU FER OU DE L'ACIER; MORCEAUX PROVENANT D</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</si>
  <si>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</si>
  <si>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FER OU EN ACIERS NON-ALLIÉS, SIMPL. LAMINÉES OU FILÉES À CHAUD (À L'EXCL. DE SECTION TRANSVERSALE RECTANGULAIRE, DES BARRES COMPORTANT DES INDENTATIONS, BOURRELETS, CREUX OU RELIEFS OBTENUS AU COURS DU LAMINAGE OU AYANT SUBI UNE TORSION A</t>
  </si>
  <si>
    <t>=t("   Constructions et parties de constructions, en fonte, fer ou acier, n.d.a. (à l'excl. des ponts et éléments de ponts, tours et pylônes, portes et fenêtres et leurs cadres, chambranles et seuils, et à l'excl. du matériel d'échafaudage, de coffrage et</t>
  </si>
  <si>
    <t>=t("   Réservoirs, foudres, cuves et récipients simil. en fonte, fer ou acier, pour toutes matières (à l'excl. des gaz comprimés ou liquéfiés), d'une contenance &gt; 300 l, sans dispositifs mécaniques ou thermiques, même avec revêtement intérieur ou calorifu</t>
  </si>
  <si>
    <t>=t("   Appareils de cuisson tels que foyers de cuisson, barbecues, grilloirs, réchauds et cuisinières, ainsi que chauffe-plats, à usage domestique, en fonte, fer ou acier, à combustibles gazeux ou à gaz et autres combustibles (à l'excl. des appareils dest</t>
  </si>
  <si>
    <t>=t("   Appareils de cuisson tels que foyers de cuisson, barbecues, grilloirs, réchauds et cuisinières, ainsi que chauffe-plats, à usage domestique, en fonte, fer ou acier, à combustibles liquides (à l'excl. des appareils destinés à la cuisine à grande éch</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</si>
  <si>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</si>
  <si>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</si>
  <si>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</si>
  <si>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Déchets et débris d'aluminium (sauf scories, mâchefer, etc., produits par la sidérurgie et contenant de l'aluminium récupérable sous forme de silicates, les déchets lingotés et autres formes brutes simil. en déchets ou débris d'aluminium fondus, et</t>
  </si>
  <si>
    <t>=t("   Cuillers, fourchettes, louches, écumoires, pelles à tartes, couteaux spéciaux à poisson ou à beurre, pinces à sucre et articles simil., en métaux communs, ni argentés, ni dorés, ni platinés (sauf en assortiments et sauf cisailles à volaille et à ho</t>
  </si>
  <si>
    <t>=t("   Baguettes enrobées et fils fourrés en métaux communs, pour brasage ou soudage à la flamme (à l'excl. des fils et baguettes à âme décapante chez lesquels le métal de brasage, décapants et fondants non compris, contient &gt;= 2% en poids d'un métal préc</t>
  </si>
  <si>
    <t xml:space="preserve">=t("   Fils, baguettes, tubes, plaques, électrodes et articles simil. en métaux communs ou en carbures métalliques, enrobés ou fourrés de décapants ou de fondants, pour brasage, soudage ou dépôt de métal ou de carbures métalliques, n.d.a., ainsi que fils </t>
  </si>
  <si>
    <t>=t("   MOTEURS À PISTON ALTERNATIF À ALLUMAGE PAR ÉTINCELLES "MOTEURS À EXPLOSION", DES TYPES UTILISÉS POUR LA PROPULSION DES VÉHICULES DU CHAPITRE 87, CYLINDRÉE &gt; 1000 CM³"")</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</si>
  <si>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</si>
  <si>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</si>
  <si>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</si>
  <si>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MACHINES ET APPAREILS POUR LE CONDITIONNEMENT DE L'AIR, FORMANT UN SEUL CORPS OU DU TYPE "SPLIT-SYSTEM" [SYSTÈMES À ÉLÉMENTS SÉPARÉS], DU TYPE MURAL OU POUR FENÊTRES"")</t>
  </si>
  <si>
    <t>=t("   Machines et appareils de minoterie ou pour traitement des céréales ou légumes secs (autres que les machines et appareils du type agricole, les installations de traitement thermique, essoreuses centrifuges, filtres à air ainsi que machines et appare</t>
  </si>
  <si>
    <t>=t("   Machines et appareils pour la fabrication industrielle des produits de boulangerie, pâtisserie ou biscuiterie ou pour la fabrication industrielle des pâtes alimentaires (sauf fours, appareils de séchage des pâtes alimentaires et machines à rouler l</t>
  </si>
  <si>
    <t>=t("   Machines et appareils servant à l'impression au moyen de caractères d'imprimerie, clichés, planches, cylindres et autres organes imprimants du n° 8442 (à l'excl. des duplicateurs hectographiques ou à stencils, des machines à imprimer les adresses e</t>
  </si>
  <si>
    <t>=t("   Machines à ébarber, meuler, polir ou à faire d'autres opérations de finissage, pour le travail des métaux (autres que les machines à rectifier dont le positionnement dans un des axes peut être réglé à au moins 0,01 mm près, autres qu'à commande num</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</si>
  <si>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</si>
  <si>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 xml:space="preserve">=t("   Machines-outils pour le travail du bois, des matières plastiques dures, etc. (sauf outillage à main, machines pouvant effectuer différents types d'opérations d'usinage sans changement d'outils entre les opérations; machines à scier, à dégauchir ou </t>
  </si>
  <si>
    <t>=t("   Machines à imprimer les adresses ou à estamper les plaques d'adresses (sauf machines à écrire automatiques, machines automatiques pour le traitement de l'information et leurs unités et sauf imprimantes à laser, imprimantes thermiques ou imprimantes</t>
  </si>
  <si>
    <t>=t("   Machines à agglomérer, former ou mouler les combustibles minéraux solides, les pâtes céramiques, le ciment, le plâtre ou autres matières minérales en poudre ou pâte; machines à former les moules de fonderie en sable (sauf pour mouler ou couler le v</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</si>
  <si>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</si>
  <si>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</si>
  <si>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</si>
  <si>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 xml:space="preserve">=t("   Parties d'appareils électriques pour la téléphonie ou la télégraphie par fil, y.c. les postes téléphoniques d'usagers par fil à combinés sans fil et les appareils pour la télécommunication par courant porteur ou pour la télécommunication numérique </t>
  </si>
  <si>
    <t>=t("   Parties reconnaissables comme étant exclusivement ou principalement destinées aux appareils du n° 8535, 8536 ou 8537, n.d.a. (à l'excl. des tableaux, panneaux, consoles, pupitres, armoires et autres supports pour articles du n° 8537, dépourvus de l</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</si>
  <si>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</si>
  <si>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</si>
  <si>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</si>
  <si>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</si>
  <si>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</si>
  <si>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</si>
  <si>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</si>
  <si>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</si>
  <si>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</si>
  <si>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</si>
  <si>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</si>
  <si>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Instruments et appareils de géodésie, de topographie, d'arpentage, de nivellement, d'hydrographie, de météorologie, d'hydrologie, de géophysique ou d'océanographie (à l'excl. des boussoles, des télémètres, des théodolites, des tachéomètres, des niv</t>
  </si>
  <si>
    <t>=t("   Tables spéciales pour jeux de casino, jeux de quilles automatiques [p.ex. bowlings] et autres jeux de société, y.c. les jeux à moteur ou à mouvement (sauf jeux fonctionnant par l'introduction d'une pièce de monnaie, d'un billet de banque, d'un jeto</t>
  </si>
  <si>
    <t>Source: Copyright © 1958 - 2003 European Community, Eurostat. All Rights Reserved. Comext: k0000031.txt  Extracted: 07/10/2014</t>
  </si>
  <si>
    <t>xcl. des dessins du n° 4906 et des articles manufacturés décorés à la main)")</t>
  </si>
  <si>
    <t>ion d'une pièce de monnaie, d'un billet de banque, d'un jeton ou d'")</t>
  </si>
  <si>
    <t>Table generation of Extraction from Plan "k0000029,mtx"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</si>
</sst>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5"/>
  <sheetViews>
    <sheetView tabSelected="1" topLeftCell="A15" workbookViewId="0">
      <selection activeCell="C15" sqref="C1:D1048576"/>
    </sheetView>
  </sheetViews>
  <sheetFormatPr baseColWidth="10" defaultRowHeight="15" x14ac:dyDescent="0.25"/>
  <sheetData>
    <row r="1" spans="1:4" x14ac:dyDescent="0.25">
      <c r="C1" t="s">
        <v>112</v>
      </c>
    </row>
    <row r="3" spans="1:4" x14ac:dyDescent="0.25">
      <c r="A3" t="s">
        <v>0</v>
      </c>
      <c r="B3" t="str">
        <f>T("07/10/2014")</f>
        <v>07/10/2014</v>
      </c>
    </row>
    <row r="4" spans="1:4" x14ac:dyDescent="0.25">
      <c r="A4" t="s">
        <v>1</v>
      </c>
      <c r="B4" t="str">
        <f>T("00")</f>
        <v>00</v>
      </c>
    </row>
    <row r="5" spans="1:4" x14ac:dyDescent="0.25">
      <c r="A5" t="s">
        <v>2</v>
      </c>
      <c r="B5" t="str">
        <f>T("2011")</f>
        <v>2011</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1639856852</v>
      </c>
      <c r="D17">
        <v>2172812</v>
      </c>
    </row>
    <row r="18" spans="1:4" x14ac:dyDescent="0.25">
      <c r="A18" t="str">
        <f>T("   080131")</f>
        <v xml:space="preserve">   080131</v>
      </c>
      <c r="B18" t="str">
        <f>T("   Noix de cajou, fraîches ou sèches, en coques")</f>
        <v xml:space="preserve">   Noix de cajou, fraîches ou sèches, en coques</v>
      </c>
      <c r="C18">
        <v>744172155</v>
      </c>
      <c r="D18">
        <v>1638419</v>
      </c>
    </row>
    <row r="19" spans="1:4" x14ac:dyDescent="0.25">
      <c r="A19" t="str">
        <f>T("   392210")</f>
        <v xml:space="preserve">   392210</v>
      </c>
      <c r="B19" t="str">
        <f>T("   Baignoires, douches, éviers et lavabos, en matières plastiques")</f>
        <v xml:space="preserve">   Baignoires, douches, éviers et lavabos, en matières plastiques</v>
      </c>
      <c r="C19">
        <v>33550000</v>
      </c>
      <c r="D19">
        <v>12200</v>
      </c>
    </row>
    <row r="20" spans="1:4" x14ac:dyDescent="0.25">
      <c r="A20" t="str">
        <f>T("   440729")</f>
        <v xml:space="preserve">   440729</v>
      </c>
      <c r="B20" t="s">
        <v>47</v>
      </c>
      <c r="C20">
        <v>487000</v>
      </c>
      <c r="D20">
        <v>26000</v>
      </c>
    </row>
    <row r="21" spans="1:4" x14ac:dyDescent="0.25">
      <c r="A21" t="str">
        <f>T("   720430")</f>
        <v xml:space="preserve">   720430</v>
      </c>
      <c r="B2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1">
        <v>500000</v>
      </c>
      <c r="D21">
        <v>10000</v>
      </c>
    </row>
    <row r="22" spans="1:4" x14ac:dyDescent="0.25">
      <c r="A22" t="str">
        <f>T("   720449")</f>
        <v xml:space="preserve">   720449</v>
      </c>
      <c r="B22" t="s">
        <v>64</v>
      </c>
      <c r="C22">
        <v>10950000</v>
      </c>
      <c r="D22">
        <v>219000</v>
      </c>
    </row>
    <row r="23" spans="1:4" x14ac:dyDescent="0.25">
      <c r="A23" t="str">
        <f>T("   820790")</f>
        <v xml:space="preserve">   820790</v>
      </c>
      <c r="B23" t="str">
        <f>T("   Outils interchangeables pour outillage à main, mécanique ou non, ou pour machines-outils, n.d.a.")</f>
        <v xml:space="preserve">   Outils interchangeables pour outillage à main, mécanique ou non, ou pour machines-outils, n.d.a.</v>
      </c>
      <c r="C23">
        <v>1524451</v>
      </c>
      <c r="D23">
        <v>768</v>
      </c>
    </row>
    <row r="24" spans="1:4" x14ac:dyDescent="0.25">
      <c r="A24" t="str">
        <f>T("   842951")</f>
        <v xml:space="preserve">   842951</v>
      </c>
      <c r="B24" t="str">
        <f>T("   Chargeuses et chargeuses-pelleteuses, à chargement frontal, autopropulsées")</f>
        <v xml:space="preserve">   Chargeuses et chargeuses-pelleteuses, à chargement frontal, autopropulsées</v>
      </c>
      <c r="C24">
        <v>60000000</v>
      </c>
      <c r="D24">
        <v>47000</v>
      </c>
    </row>
    <row r="25" spans="1:4" x14ac:dyDescent="0.25">
      <c r="A25" t="str">
        <f>T("   850680")</f>
        <v xml:space="preserve">   850680</v>
      </c>
      <c r="B25"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5">
        <v>17075111</v>
      </c>
      <c r="D25">
        <v>11450</v>
      </c>
    </row>
    <row r="26" spans="1:4" x14ac:dyDescent="0.25">
      <c r="A26" t="str">
        <f>T("   854420")</f>
        <v xml:space="preserve">   854420</v>
      </c>
      <c r="B26" t="str">
        <f>T("   Câbles coaxiaux et autres conducteurs électriques coaxiaux, isolés")</f>
        <v xml:space="preserve">   Câbles coaxiaux et autres conducteurs électriques coaxiaux, isolés</v>
      </c>
      <c r="C26">
        <v>750000</v>
      </c>
      <c r="D26">
        <v>500</v>
      </c>
    </row>
    <row r="27" spans="1:4" x14ac:dyDescent="0.25">
      <c r="A27" t="str">
        <f>T("   870421")</f>
        <v xml:space="preserve">   870421</v>
      </c>
      <c r="B27" t="s">
        <v>102</v>
      </c>
      <c r="C27">
        <v>745201135</v>
      </c>
      <c r="D27">
        <v>175600</v>
      </c>
    </row>
    <row r="28" spans="1:4" x14ac:dyDescent="0.25">
      <c r="A28" t="str">
        <f>T("   880190")</f>
        <v xml:space="preserve">   880190</v>
      </c>
      <c r="B28"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28">
        <v>12922000</v>
      </c>
      <c r="D28">
        <v>28500</v>
      </c>
    </row>
    <row r="29" spans="1:4" x14ac:dyDescent="0.25">
      <c r="A29" t="str">
        <f>T("   961620")</f>
        <v xml:space="preserve">   961620</v>
      </c>
      <c r="B29" t="str">
        <f>T("   Houppes et houppettes à poudre ou pour l'application d'autres cosmétiques ou produits de toilette")</f>
        <v xml:space="preserve">   Houppes et houppettes à poudre ou pour l'application d'autres cosmétiques ou produits de toilette</v>
      </c>
      <c r="C29">
        <v>12725000</v>
      </c>
      <c r="D29">
        <v>3375</v>
      </c>
    </row>
    <row r="30" spans="1:4" x14ac:dyDescent="0.25">
      <c r="A30" t="str">
        <f>T("AO")</f>
        <v>AO</v>
      </c>
      <c r="B30" t="str">
        <f>T("Angola")</f>
        <v>Angola</v>
      </c>
    </row>
    <row r="31" spans="1:4" x14ac:dyDescent="0.25">
      <c r="A31" t="str">
        <f>T("   ZZ_Total_Produit_SH6")</f>
        <v xml:space="preserve">   ZZ_Total_Produit_SH6</v>
      </c>
      <c r="B31" t="str">
        <f>T("   ZZ_Total_Produit_SH6")</f>
        <v xml:space="preserve">   ZZ_Total_Produit_SH6</v>
      </c>
      <c r="C31">
        <v>61243502</v>
      </c>
      <c r="D31">
        <v>2600</v>
      </c>
    </row>
    <row r="32" spans="1:4" x14ac:dyDescent="0.25">
      <c r="A32" t="str">
        <f>T("   870323")</f>
        <v xml:space="preserve">   870323</v>
      </c>
      <c r="B32" t="s">
        <v>98</v>
      </c>
      <c r="C32">
        <v>61243502</v>
      </c>
      <c r="D32">
        <v>2600</v>
      </c>
    </row>
    <row r="33" spans="1:4" x14ac:dyDescent="0.25">
      <c r="A33" t="str">
        <f>T("AU")</f>
        <v>AU</v>
      </c>
      <c r="B33" t="str">
        <f>T("Australie")</f>
        <v>Australie</v>
      </c>
    </row>
    <row r="34" spans="1:4" x14ac:dyDescent="0.25">
      <c r="A34" t="str">
        <f>T("   ZZ_Total_Produit_SH6")</f>
        <v xml:space="preserve">   ZZ_Total_Produit_SH6</v>
      </c>
      <c r="B34" t="str">
        <f>T("   ZZ_Total_Produit_SH6")</f>
        <v xml:space="preserve">   ZZ_Total_Produit_SH6</v>
      </c>
      <c r="C34">
        <v>300000000</v>
      </c>
      <c r="D34">
        <v>1500000</v>
      </c>
    </row>
    <row r="35" spans="1:4" x14ac:dyDescent="0.25">
      <c r="A35" t="str">
        <f>T("   080131")</f>
        <v xml:space="preserve">   080131</v>
      </c>
      <c r="B35" t="str">
        <f>T("   Noix de cajou, fraîches ou sèches, en coques")</f>
        <v xml:space="preserve">   Noix de cajou, fraîches ou sèches, en coques</v>
      </c>
      <c r="C35">
        <v>300000000</v>
      </c>
      <c r="D35">
        <v>1500000</v>
      </c>
    </row>
    <row r="36" spans="1:4" x14ac:dyDescent="0.25">
      <c r="A36" t="str">
        <f>T("BD")</f>
        <v>BD</v>
      </c>
      <c r="B36" t="str">
        <f>T("Bangladesh")</f>
        <v>Bangladesh</v>
      </c>
    </row>
    <row r="37" spans="1:4" x14ac:dyDescent="0.25">
      <c r="A37" t="str">
        <f>T("   ZZ_Total_Produit_SH6")</f>
        <v xml:space="preserve">   ZZ_Total_Produit_SH6</v>
      </c>
      <c r="B37" t="str">
        <f>T("   ZZ_Total_Produit_SH6")</f>
        <v xml:space="preserve">   ZZ_Total_Produit_SH6</v>
      </c>
      <c r="C37">
        <v>93800507</v>
      </c>
      <c r="D37">
        <v>326698.8</v>
      </c>
    </row>
    <row r="38" spans="1:4" x14ac:dyDescent="0.25">
      <c r="A38" t="str">
        <f>T("   520100")</f>
        <v xml:space="preserve">   520100</v>
      </c>
      <c r="B38" t="str">
        <f>T("   COTON, NON-CARDÉ NI PEIGNÉ")</f>
        <v xml:space="preserve">   COTON, NON-CARDÉ NI PEIGNÉ</v>
      </c>
      <c r="C38">
        <v>74863947</v>
      </c>
      <c r="D38">
        <v>97227</v>
      </c>
    </row>
    <row r="39" spans="1:4" x14ac:dyDescent="0.25">
      <c r="A39" t="str">
        <f>T("   630510")</f>
        <v xml:space="preserve">   630510</v>
      </c>
      <c r="B39" t="str">
        <f>T("   Sacs et sachets d'emballage de jute ou d'autres fibres textiles libériennes du n° 5303")</f>
        <v xml:space="preserve">   Sacs et sachets d'emballage de jute ou d'autres fibres textiles libériennes du n° 5303</v>
      </c>
      <c r="C39">
        <v>8436560</v>
      </c>
      <c r="D39">
        <v>19471.8</v>
      </c>
    </row>
    <row r="40" spans="1:4" x14ac:dyDescent="0.25">
      <c r="A40" t="str">
        <f>T("   720449")</f>
        <v xml:space="preserve">   720449</v>
      </c>
      <c r="B40" t="s">
        <v>64</v>
      </c>
      <c r="C40">
        <v>10500000</v>
      </c>
      <c r="D40">
        <v>210000</v>
      </c>
    </row>
    <row r="41" spans="1:4" x14ac:dyDescent="0.25">
      <c r="A41" t="str">
        <f>T("BE")</f>
        <v>BE</v>
      </c>
      <c r="B41" t="str">
        <f>T("Belgique")</f>
        <v>Belgique</v>
      </c>
    </row>
    <row r="42" spans="1:4" x14ac:dyDescent="0.25">
      <c r="A42" t="str">
        <f>T("   ZZ_Total_Produit_SH6")</f>
        <v xml:space="preserve">   ZZ_Total_Produit_SH6</v>
      </c>
      <c r="B42" t="str">
        <f>T("   ZZ_Total_Produit_SH6")</f>
        <v xml:space="preserve">   ZZ_Total_Produit_SH6</v>
      </c>
      <c r="C42">
        <v>214394963</v>
      </c>
      <c r="D42">
        <v>139954</v>
      </c>
    </row>
    <row r="43" spans="1:4" x14ac:dyDescent="0.25">
      <c r="A43" t="str">
        <f>T("   030623")</f>
        <v xml:space="preserve">   030623</v>
      </c>
      <c r="B43"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43">
        <v>1250000</v>
      </c>
      <c r="D43">
        <v>1000</v>
      </c>
    </row>
    <row r="44" spans="1:4" x14ac:dyDescent="0.25">
      <c r="A44" t="str">
        <f>T("   080430")</f>
        <v xml:space="preserve">   080430</v>
      </c>
      <c r="B44" t="str">
        <f>T("   Ananas, frais ou secs")</f>
        <v xml:space="preserve">   Ananas, frais ou secs</v>
      </c>
      <c r="C44">
        <v>7279516</v>
      </c>
      <c r="D44">
        <v>90</v>
      </c>
    </row>
    <row r="45" spans="1:4" x14ac:dyDescent="0.25">
      <c r="A45" t="str">
        <f>T("   120710")</f>
        <v xml:space="preserve">   120710</v>
      </c>
      <c r="B45" t="str">
        <f>T("   NOIX ET AMANDES DE PALMISTES")</f>
        <v xml:space="preserve">   NOIX ET AMANDES DE PALMISTES</v>
      </c>
      <c r="C45">
        <v>12397588</v>
      </c>
      <c r="D45">
        <v>112</v>
      </c>
    </row>
    <row r="46" spans="1:4" x14ac:dyDescent="0.25">
      <c r="A46" t="str">
        <f>T("   300490")</f>
        <v xml:space="preserve">   300490</v>
      </c>
      <c r="B46" t="s">
        <v>29</v>
      </c>
      <c r="C46">
        <v>40500000</v>
      </c>
      <c r="D46">
        <v>2400</v>
      </c>
    </row>
    <row r="47" spans="1:4" x14ac:dyDescent="0.25">
      <c r="A47" t="str">
        <f>T("   620590")</f>
        <v xml:space="preserve">   620590</v>
      </c>
      <c r="B4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7">
        <v>3600000</v>
      </c>
      <c r="D47">
        <v>5000</v>
      </c>
    </row>
    <row r="48" spans="1:4" x14ac:dyDescent="0.25">
      <c r="A48" t="str">
        <f>T("   720449")</f>
        <v xml:space="preserve">   720449</v>
      </c>
      <c r="B48" t="s">
        <v>64</v>
      </c>
      <c r="C48">
        <v>3000000</v>
      </c>
      <c r="D48">
        <v>60000</v>
      </c>
    </row>
    <row r="49" spans="1:4" x14ac:dyDescent="0.25">
      <c r="A49" t="str">
        <f>T("   732394")</f>
        <v xml:space="preserve">   732394</v>
      </c>
      <c r="B49" t="s">
        <v>72</v>
      </c>
      <c r="C49">
        <v>3050000</v>
      </c>
      <c r="D49">
        <v>5400</v>
      </c>
    </row>
    <row r="50" spans="1:4" x14ac:dyDescent="0.25">
      <c r="A50" t="str">
        <f>T("   732690")</f>
        <v xml:space="preserve">   732690</v>
      </c>
      <c r="B5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0">
        <v>290000</v>
      </c>
      <c r="D50">
        <v>645</v>
      </c>
    </row>
    <row r="51" spans="1:4" x14ac:dyDescent="0.25">
      <c r="A51" t="str">
        <f>T("   840890")</f>
        <v xml:space="preserve">   840890</v>
      </c>
      <c r="B51" t="s">
        <v>80</v>
      </c>
      <c r="C51">
        <v>86478315</v>
      </c>
      <c r="D51">
        <v>7707</v>
      </c>
    </row>
    <row r="52" spans="1:4" x14ac:dyDescent="0.25">
      <c r="A52" t="str">
        <f>T("   842919")</f>
        <v xml:space="preserve">   842919</v>
      </c>
      <c r="B52" t="str">
        <f>T("   Bouteurs 'bulldozers' et bouteurs biais 'angledozers', sur roues")</f>
        <v xml:space="preserve">   Bouteurs 'bulldozers' et bouteurs biais 'angledozers', sur roues</v>
      </c>
      <c r="C52">
        <v>4416607</v>
      </c>
      <c r="D52">
        <v>18500</v>
      </c>
    </row>
    <row r="53" spans="1:4" x14ac:dyDescent="0.25">
      <c r="A53" t="str">
        <f>T("   842940")</f>
        <v xml:space="preserve">   842940</v>
      </c>
      <c r="B53" t="str">
        <f>T("   Rouleaux compresseurs et autres compacteuses, autopropulsés")</f>
        <v xml:space="preserve">   Rouleaux compresseurs et autres compacteuses, autopropulsés</v>
      </c>
      <c r="C53">
        <v>26454381</v>
      </c>
      <c r="D53">
        <v>18600</v>
      </c>
    </row>
    <row r="54" spans="1:4" x14ac:dyDescent="0.25">
      <c r="A54" t="str">
        <f>T("   843149")</f>
        <v xml:space="preserve">   843149</v>
      </c>
      <c r="B54" t="str">
        <f>T("   Parties de machines et appareils du n° 8426, 8429 ou 8430, n.d.a.")</f>
        <v xml:space="preserve">   Parties de machines et appareils du n° 8426, 8429 ou 8430, n.d.a.</v>
      </c>
      <c r="C54">
        <v>11925840</v>
      </c>
      <c r="D54">
        <v>1015</v>
      </c>
    </row>
    <row r="55" spans="1:4" x14ac:dyDescent="0.25">
      <c r="A55" t="str">
        <f>T("   870322")</f>
        <v xml:space="preserve">   870322</v>
      </c>
      <c r="B55" t="s">
        <v>97</v>
      </c>
      <c r="C55">
        <v>1821850</v>
      </c>
      <c r="D55">
        <v>2640</v>
      </c>
    </row>
    <row r="56" spans="1:4" x14ac:dyDescent="0.25">
      <c r="A56" t="str">
        <f>T("   870323")</f>
        <v xml:space="preserve">   870323</v>
      </c>
      <c r="B56" t="s">
        <v>98</v>
      </c>
      <c r="C56">
        <v>2930866</v>
      </c>
      <c r="D56">
        <v>1445</v>
      </c>
    </row>
    <row r="57" spans="1:4" x14ac:dyDescent="0.25">
      <c r="A57" t="str">
        <f>T("   940350")</f>
        <v xml:space="preserve">   940350</v>
      </c>
      <c r="B57" t="str">
        <f>T("   Meubles pour chambres à coucher, en bois (sauf sièges)")</f>
        <v xml:space="preserve">   Meubles pour chambres à coucher, en bois (sauf sièges)</v>
      </c>
      <c r="C57">
        <v>6850000</v>
      </c>
      <c r="D57">
        <v>12400</v>
      </c>
    </row>
    <row r="58" spans="1:4" x14ac:dyDescent="0.25">
      <c r="A58" t="str">
        <f>T("   940360")</f>
        <v xml:space="preserve">   940360</v>
      </c>
      <c r="B58" t="str">
        <f>T("   Meubles en bois (autres que pour bureaux, cuisines ou chambres à coucher et autres que sièges)")</f>
        <v xml:space="preserve">   Meubles en bois (autres que pour bureaux, cuisines ou chambres à coucher et autres que sièges)</v>
      </c>
      <c r="C58">
        <v>2150000</v>
      </c>
      <c r="D58">
        <v>3000</v>
      </c>
    </row>
    <row r="59" spans="1:4" x14ac:dyDescent="0.25">
      <c r="A59" t="str">
        <f>T("BF")</f>
        <v>BF</v>
      </c>
      <c r="B59" t="str">
        <f>T("Burkina Faso")</f>
        <v>Burkina Faso</v>
      </c>
    </row>
    <row r="60" spans="1:4" x14ac:dyDescent="0.25">
      <c r="A60" t="str">
        <f>T("   ZZ_Total_Produit_SH6")</f>
        <v xml:space="preserve">   ZZ_Total_Produit_SH6</v>
      </c>
      <c r="B60" t="str">
        <f>T("   ZZ_Total_Produit_SH6")</f>
        <v xml:space="preserve">   ZZ_Total_Produit_SH6</v>
      </c>
      <c r="C60">
        <v>1964269870</v>
      </c>
      <c r="D60">
        <v>1674784.3</v>
      </c>
    </row>
    <row r="61" spans="1:4" x14ac:dyDescent="0.25">
      <c r="A61" t="str">
        <f>T("   110423")</f>
        <v xml:space="preserve">   110423</v>
      </c>
      <c r="B61" t="str">
        <f>T("   Grains de maïs, mondés, perlés, tranchés, concassés ou autrement travaillés (à l'excl. de la farine de maïs)")</f>
        <v xml:space="preserve">   Grains de maïs, mondés, perlés, tranchés, concassés ou autrement travaillés (à l'excl. de la farine de maïs)</v>
      </c>
      <c r="C61">
        <v>19945000</v>
      </c>
      <c r="D61">
        <v>70000</v>
      </c>
    </row>
    <row r="62" spans="1:4" x14ac:dyDescent="0.25">
      <c r="A62" t="str">
        <f>T("   200939")</f>
        <v xml:space="preserve">   200939</v>
      </c>
      <c r="B62"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62">
        <v>2300000</v>
      </c>
      <c r="D62">
        <v>5600</v>
      </c>
    </row>
    <row r="63" spans="1:4" x14ac:dyDescent="0.25">
      <c r="A63" t="str">
        <f>T("   200941")</f>
        <v xml:space="preserve">   200941</v>
      </c>
      <c r="B63"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63">
        <v>1200000</v>
      </c>
      <c r="D63">
        <v>11000</v>
      </c>
    </row>
    <row r="64" spans="1:4" x14ac:dyDescent="0.25">
      <c r="A64" t="str">
        <f>T("   200949")</f>
        <v xml:space="preserve">   200949</v>
      </c>
      <c r="B6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64">
        <v>20776335</v>
      </c>
      <c r="D64">
        <v>171516</v>
      </c>
    </row>
    <row r="65" spans="1:4" x14ac:dyDescent="0.25">
      <c r="A65" t="str">
        <f>T("   230230")</f>
        <v xml:space="preserve">   230230</v>
      </c>
      <c r="B65"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65">
        <v>1200000</v>
      </c>
      <c r="D65">
        <v>20000</v>
      </c>
    </row>
    <row r="66" spans="1:4" x14ac:dyDescent="0.25">
      <c r="A66" t="str">
        <f>T("   230240")</f>
        <v xml:space="preserve">   230240</v>
      </c>
      <c r="B66"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66">
        <v>1250000</v>
      </c>
      <c r="D66">
        <v>25000</v>
      </c>
    </row>
    <row r="67" spans="1:4" x14ac:dyDescent="0.25">
      <c r="A67" t="str">
        <f>T("   230400")</f>
        <v xml:space="preserve">   230400</v>
      </c>
      <c r="B67"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67">
        <v>12250000</v>
      </c>
      <c r="D67">
        <v>70000</v>
      </c>
    </row>
    <row r="68" spans="1:4" x14ac:dyDescent="0.25">
      <c r="A68" t="str">
        <f>T("   230610")</f>
        <v xml:space="preserve">   230610</v>
      </c>
      <c r="B68"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68">
        <v>8990100</v>
      </c>
      <c r="D68">
        <v>59934</v>
      </c>
    </row>
    <row r="69" spans="1:4" x14ac:dyDescent="0.25">
      <c r="A69" t="str">
        <f>T("   271019")</f>
        <v xml:space="preserve">   271019</v>
      </c>
      <c r="B69" t="str">
        <f>T("   Huiles moyennes et préparations, de pétrole ou de minéraux bitumineux, n.d.a.")</f>
        <v xml:space="preserve">   Huiles moyennes et préparations, de pétrole ou de minéraux bitumineux, n.d.a.</v>
      </c>
      <c r="C69">
        <v>21438320</v>
      </c>
      <c r="D69">
        <v>18246</v>
      </c>
    </row>
    <row r="70" spans="1:4" x14ac:dyDescent="0.25">
      <c r="A70" t="str">
        <f>T("   300490")</f>
        <v xml:space="preserve">   300490</v>
      </c>
      <c r="B70" t="s">
        <v>29</v>
      </c>
      <c r="C70">
        <v>17100000</v>
      </c>
      <c r="D70">
        <v>1070</v>
      </c>
    </row>
    <row r="71" spans="1:4" x14ac:dyDescent="0.25">
      <c r="A71" t="str">
        <f>T("   320890")</f>
        <v xml:space="preserve">   320890</v>
      </c>
      <c r="B71" t="s">
        <v>32</v>
      </c>
      <c r="C71">
        <v>4885648</v>
      </c>
      <c r="D71">
        <v>1405</v>
      </c>
    </row>
    <row r="72" spans="1:4" x14ac:dyDescent="0.25">
      <c r="A72" t="str">
        <f>T("   320910")</f>
        <v xml:space="preserve">   320910</v>
      </c>
      <c r="B72" t="str">
        <f>T("   Peintures et vernis à base de polymères acryliques ou vinyliques, dispersés ou dissous dans un milieu aqueux")</f>
        <v xml:space="preserve">   Peintures et vernis à base de polymères acryliques ou vinyliques, dispersés ou dissous dans un milieu aqueux</v>
      </c>
      <c r="C72">
        <v>7173737</v>
      </c>
      <c r="D72">
        <v>5065</v>
      </c>
    </row>
    <row r="73" spans="1:4" x14ac:dyDescent="0.25">
      <c r="A73" t="str">
        <f>T("   391721")</f>
        <v xml:space="preserve">   391721</v>
      </c>
      <c r="B73" t="str">
        <f>T("   TUBES ET TUYAUX RIGIDES, EN POLYMÈRES DE L'ÉTHYLÈNE")</f>
        <v xml:space="preserve">   TUBES ET TUYAUX RIGIDES, EN POLYMÈRES DE L'ÉTHYLÈNE</v>
      </c>
      <c r="C73">
        <v>359472500</v>
      </c>
      <c r="D73">
        <v>74800</v>
      </c>
    </row>
    <row r="74" spans="1:4" x14ac:dyDescent="0.25">
      <c r="A74" t="str">
        <f>T("   481910")</f>
        <v xml:space="preserve">   481910</v>
      </c>
      <c r="B74" t="str">
        <f>T("   Boîtes et caisses en papier ou en carton ondulé")</f>
        <v xml:space="preserve">   Boîtes et caisses en papier ou en carton ondulé</v>
      </c>
      <c r="C74">
        <v>340328</v>
      </c>
      <c r="D74">
        <v>200</v>
      </c>
    </row>
    <row r="75" spans="1:4" x14ac:dyDescent="0.25">
      <c r="A75" t="str">
        <f>T("   490700")</f>
        <v xml:space="preserve">   490700</v>
      </c>
      <c r="B75" t="s">
        <v>52</v>
      </c>
      <c r="C75">
        <v>6600000</v>
      </c>
      <c r="D75">
        <v>3309</v>
      </c>
    </row>
    <row r="76" spans="1:4" x14ac:dyDescent="0.25">
      <c r="A76" t="str">
        <f>T("   520812")</f>
        <v xml:space="preserve">   520812</v>
      </c>
      <c r="B76" t="str">
        <f>T("   Tissus de coton, écrus, à armure toile, contenant &gt;= 85% en poids de coton, d'un poids &gt; 100 g/m² mais &lt;= 200 g/m²")</f>
        <v xml:space="preserve">   Tissus de coton, écrus, à armure toile, contenant &gt;= 85% en poids de coton, d'un poids &gt; 100 g/m² mais &lt;= 200 g/m²</v>
      </c>
      <c r="C76">
        <v>22680000</v>
      </c>
      <c r="D76">
        <v>6960</v>
      </c>
    </row>
    <row r="77" spans="1:4" x14ac:dyDescent="0.25">
      <c r="A77" t="str">
        <f>T("   551110")</f>
        <v xml:space="preserve">   551110</v>
      </c>
      <c r="B77" t="str">
        <f>T("   Fils de fibres synthétiques discontinues, contenant &gt;= 85% en poids de ces fibres, conditionnés pour la vente au détail (à l'excl. des fils à coudre)")</f>
        <v xml:space="preserve">   Fils de fibres synthétiques discontinues, contenant &gt;= 85% en poids de ces fibres, conditionnés pour la vente au détail (à l'excl. des fils à coudre)</v>
      </c>
      <c r="C77">
        <v>4694560</v>
      </c>
      <c r="D77">
        <v>10540</v>
      </c>
    </row>
    <row r="78" spans="1:4" x14ac:dyDescent="0.25">
      <c r="A78" t="str">
        <f>T("   660199")</f>
        <v xml:space="preserve">   660199</v>
      </c>
      <c r="B78"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8">
        <v>12800000</v>
      </c>
      <c r="D78">
        <v>1300</v>
      </c>
    </row>
    <row r="79" spans="1:4" x14ac:dyDescent="0.25">
      <c r="A79" t="str">
        <f>T("   720839")</f>
        <v xml:space="preserve">   720839</v>
      </c>
      <c r="B7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79">
        <v>129500000</v>
      </c>
      <c r="D79">
        <v>350000</v>
      </c>
    </row>
    <row r="80" spans="1:4" x14ac:dyDescent="0.25">
      <c r="A80" t="str">
        <f>T("   720851")</f>
        <v xml:space="preserve">   720851</v>
      </c>
      <c r="B80" t="str">
        <f>T("   PRODUITS LAMINÉS PLATS, EN FER OU EN ACIERS NON-ALLIÉS, D'UNE LARGEUR &gt;= 600 MM, NON-ENROULÉS, SIMPL. LAMINÉS À CHAUD, NON-PLAQUÉS NI REVÊTUS, ÉPAISSEUR &gt; 10 MM (SANS MOTIFS EN RELIEF)")</f>
        <v xml:space="preserve">   PRODUITS LAMINÉS PLATS, EN FER OU EN ACIERS NON-ALLIÉS, D'UNE LARGEUR &gt;= 600 MM, NON-ENROULÉS, SIMPL. LAMINÉS À CHAUD, NON-PLAQUÉS NI REVÊTUS, ÉPAISSEUR &gt; 10 MM (SANS MOTIFS EN RELIEF)</v>
      </c>
      <c r="C80">
        <v>10994803</v>
      </c>
      <c r="D80">
        <v>40630</v>
      </c>
    </row>
    <row r="81" spans="1:4" x14ac:dyDescent="0.25">
      <c r="A81" t="str">
        <f>T("   721041")</f>
        <v xml:space="preserve">   721041</v>
      </c>
      <c r="B81"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1">
        <v>6960000</v>
      </c>
      <c r="D81">
        <v>15000</v>
      </c>
    </row>
    <row r="82" spans="1:4" x14ac:dyDescent="0.25">
      <c r="A82" t="str">
        <f>T("   721049")</f>
        <v xml:space="preserve">   721049</v>
      </c>
      <c r="B82"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2">
        <v>11600000</v>
      </c>
      <c r="D82">
        <v>25000</v>
      </c>
    </row>
    <row r="83" spans="1:4" x14ac:dyDescent="0.25">
      <c r="A83" t="str">
        <f>T("   721391")</f>
        <v xml:space="preserve">   721391</v>
      </c>
      <c r="B83"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3">
        <v>127199803</v>
      </c>
      <c r="D83">
        <v>350304</v>
      </c>
    </row>
    <row r="84" spans="1:4" x14ac:dyDescent="0.25">
      <c r="A84" t="str">
        <f>T("   732393")</f>
        <v xml:space="preserve">   732393</v>
      </c>
      <c r="B84" t="s">
        <v>71</v>
      </c>
      <c r="C84">
        <v>482132</v>
      </c>
      <c r="D84">
        <v>1250</v>
      </c>
    </row>
    <row r="85" spans="1:4" x14ac:dyDescent="0.25">
      <c r="A85" t="str">
        <f>T("   732690")</f>
        <v xml:space="preserve">   732690</v>
      </c>
      <c r="B8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5">
        <v>700000</v>
      </c>
      <c r="D85">
        <v>55</v>
      </c>
    </row>
    <row r="86" spans="1:4" x14ac:dyDescent="0.25">
      <c r="A86" t="str">
        <f>T("   760611")</f>
        <v xml:space="preserve">   760611</v>
      </c>
      <c r="B86"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86">
        <v>148082854</v>
      </c>
      <c r="D86">
        <v>100000</v>
      </c>
    </row>
    <row r="87" spans="1:4" x14ac:dyDescent="0.25">
      <c r="A87" t="str">
        <f>T("   821599")</f>
        <v xml:space="preserve">   821599</v>
      </c>
      <c r="B87" t="s">
        <v>75</v>
      </c>
      <c r="C87">
        <v>234958750</v>
      </c>
      <c r="D87">
        <v>12408</v>
      </c>
    </row>
    <row r="88" spans="1:4" x14ac:dyDescent="0.25">
      <c r="A88" t="str">
        <f>T("   842951")</f>
        <v xml:space="preserve">   842951</v>
      </c>
      <c r="B88" t="str">
        <f>T("   Chargeuses et chargeuses-pelleteuses, à chargement frontal, autopropulsées")</f>
        <v xml:space="preserve">   Chargeuses et chargeuses-pelleteuses, à chargement frontal, autopropulsées</v>
      </c>
      <c r="C88">
        <v>13100000</v>
      </c>
      <c r="D88">
        <v>3091</v>
      </c>
    </row>
    <row r="89" spans="1:4" x14ac:dyDescent="0.25">
      <c r="A89" t="str">
        <f>T("   842959")</f>
        <v xml:space="preserve">   842959</v>
      </c>
      <c r="B8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9">
        <v>216250000</v>
      </c>
      <c r="D89">
        <v>137000</v>
      </c>
    </row>
    <row r="90" spans="1:4" x14ac:dyDescent="0.25">
      <c r="A90" t="str">
        <f>T("   844359")</f>
        <v xml:space="preserve">   844359</v>
      </c>
      <c r="B90" t="s">
        <v>85</v>
      </c>
      <c r="C90">
        <v>2700000</v>
      </c>
      <c r="D90">
        <v>75.3</v>
      </c>
    </row>
    <row r="91" spans="1:4" x14ac:dyDescent="0.25">
      <c r="A91" t="str">
        <f>T("   847431")</f>
        <v xml:space="preserve">   847431</v>
      </c>
      <c r="B9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1">
        <v>6618000</v>
      </c>
      <c r="D91">
        <v>8560</v>
      </c>
    </row>
    <row r="92" spans="1:4" x14ac:dyDescent="0.25">
      <c r="A92" t="str">
        <f>T("   848180")</f>
        <v xml:space="preserve">   848180</v>
      </c>
      <c r="B9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2">
        <v>517743400</v>
      </c>
      <c r="D92">
        <v>50535</v>
      </c>
    </row>
    <row r="93" spans="1:4" x14ac:dyDescent="0.25">
      <c r="A93" t="str">
        <f>T("   850239")</f>
        <v xml:space="preserve">   850239</v>
      </c>
      <c r="B93" t="str">
        <f>T("   Groupes électrogènes (autres qu'à énergie éolienne et à moteurs à piston)")</f>
        <v xml:space="preserve">   Groupes électrogènes (autres qu'à énergie éolienne et à moteurs à piston)</v>
      </c>
      <c r="C93">
        <v>10000000</v>
      </c>
      <c r="D93">
        <v>8256</v>
      </c>
    </row>
    <row r="94" spans="1:4" x14ac:dyDescent="0.25">
      <c r="A94" t="str">
        <f>T("   850300")</f>
        <v xml:space="preserve">   850300</v>
      </c>
      <c r="B94"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94">
        <v>450000</v>
      </c>
      <c r="D94">
        <v>815</v>
      </c>
    </row>
    <row r="95" spans="1:4" x14ac:dyDescent="0.25">
      <c r="A95" t="str">
        <f>T("   870530")</f>
        <v xml:space="preserve">   870530</v>
      </c>
      <c r="B95" t="str">
        <f>T("   Voitures de lutte contre l'incendie (sauf véhicules affectés principalement au transport des sapeurs-pompiers)")</f>
        <v xml:space="preserve">   Voitures de lutte contre l'incendie (sauf véhicules affectés principalement au transport des sapeurs-pompiers)</v>
      </c>
      <c r="C95">
        <v>153600</v>
      </c>
      <c r="D95">
        <v>4910</v>
      </c>
    </row>
    <row r="96" spans="1:4" x14ac:dyDescent="0.25">
      <c r="A96" t="str">
        <f>T("   940350")</f>
        <v xml:space="preserve">   940350</v>
      </c>
      <c r="B96" t="str">
        <f>T("   Meubles pour chambres à coucher, en bois (sauf sièges)")</f>
        <v xml:space="preserve">   Meubles pour chambres à coucher, en bois (sauf sièges)</v>
      </c>
      <c r="C96">
        <v>500000</v>
      </c>
      <c r="D96">
        <v>450</v>
      </c>
    </row>
    <row r="97" spans="1:4" x14ac:dyDescent="0.25">
      <c r="A97" t="str">
        <f>T("   940360")</f>
        <v xml:space="preserve">   940360</v>
      </c>
      <c r="B97" t="str">
        <f>T("   Meubles en bois (autres que pour bureaux, cuisines ou chambres à coucher et autres que sièges)")</f>
        <v xml:space="preserve">   Meubles en bois (autres que pour bureaux, cuisines ou chambres à coucher et autres que sièges)</v>
      </c>
      <c r="C97">
        <v>780000</v>
      </c>
      <c r="D97">
        <v>500</v>
      </c>
    </row>
    <row r="98" spans="1:4" x14ac:dyDescent="0.25">
      <c r="A98" t="str">
        <f>T("   940380")</f>
        <v xml:space="preserve">   940380</v>
      </c>
      <c r="B98" t="str">
        <f>T("   Meubles en rotin, osier, bambou ou autres matières (sauf métal, bois et matières plastiques)")</f>
        <v xml:space="preserve">   Meubles en rotin, osier, bambou ou autres matières (sauf métal, bois et matières plastiques)</v>
      </c>
      <c r="C98">
        <v>400000</v>
      </c>
      <c r="D98">
        <v>10000</v>
      </c>
    </row>
    <row r="99" spans="1:4" x14ac:dyDescent="0.25">
      <c r="A99" t="str">
        <f>T("BI")</f>
        <v>BI</v>
      </c>
      <c r="B99" t="str">
        <f>T("Burundi")</f>
        <v>Burundi</v>
      </c>
    </row>
    <row r="100" spans="1:4" x14ac:dyDescent="0.25">
      <c r="A100" t="str">
        <f>T("   ZZ_Total_Produit_SH6")</f>
        <v xml:space="preserve">   ZZ_Total_Produit_SH6</v>
      </c>
      <c r="B100" t="str">
        <f>T("   ZZ_Total_Produit_SH6")</f>
        <v xml:space="preserve">   ZZ_Total_Produit_SH6</v>
      </c>
      <c r="C100">
        <v>59071477</v>
      </c>
      <c r="D100">
        <v>19329</v>
      </c>
    </row>
    <row r="101" spans="1:4" x14ac:dyDescent="0.25">
      <c r="A101" t="str">
        <f>T("   120710")</f>
        <v xml:space="preserve">   120710</v>
      </c>
      <c r="B101" t="str">
        <f>T("   NOIX ET AMANDES DE PALMISTES")</f>
        <v xml:space="preserve">   NOIX ET AMANDES DE PALMISTES</v>
      </c>
      <c r="C101">
        <v>39488611</v>
      </c>
      <c r="D101">
        <v>349</v>
      </c>
    </row>
    <row r="102" spans="1:4" x14ac:dyDescent="0.25">
      <c r="A102" t="str">
        <f>T("   620590")</f>
        <v xml:space="preserve">   620590</v>
      </c>
      <c r="B10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2">
        <v>700000</v>
      </c>
      <c r="D102">
        <v>800</v>
      </c>
    </row>
    <row r="103" spans="1:4" x14ac:dyDescent="0.25">
      <c r="A103" t="str">
        <f>T("   732394")</f>
        <v xml:space="preserve">   732394</v>
      </c>
      <c r="B103" t="s">
        <v>72</v>
      </c>
      <c r="C103">
        <v>1000000</v>
      </c>
      <c r="D103">
        <v>800</v>
      </c>
    </row>
    <row r="104" spans="1:4" x14ac:dyDescent="0.25">
      <c r="A104" t="str">
        <f>T("   870322")</f>
        <v xml:space="preserve">   870322</v>
      </c>
      <c r="B104" t="s">
        <v>97</v>
      </c>
      <c r="C104">
        <v>1874304</v>
      </c>
      <c r="D104">
        <v>2170</v>
      </c>
    </row>
    <row r="105" spans="1:4" x14ac:dyDescent="0.25">
      <c r="A105" t="str">
        <f>T("   870323")</f>
        <v xml:space="preserve">   870323</v>
      </c>
      <c r="B105" t="s">
        <v>98</v>
      </c>
      <c r="C105">
        <v>4321910</v>
      </c>
      <c r="D105">
        <v>1700</v>
      </c>
    </row>
    <row r="106" spans="1:4" x14ac:dyDescent="0.25">
      <c r="A106" t="str">
        <f>T("   940350")</f>
        <v xml:space="preserve">   940350</v>
      </c>
      <c r="B106" t="str">
        <f>T("   Meubles pour chambres à coucher, en bois (sauf sièges)")</f>
        <v xml:space="preserve">   Meubles pour chambres à coucher, en bois (sauf sièges)</v>
      </c>
      <c r="C106">
        <v>2300000</v>
      </c>
      <c r="D106">
        <v>1700</v>
      </c>
    </row>
    <row r="107" spans="1:4" x14ac:dyDescent="0.25">
      <c r="A107" t="str">
        <f>T("   940380")</f>
        <v xml:space="preserve">   940380</v>
      </c>
      <c r="B107" t="str">
        <f>T("   Meubles en rotin, osier, bambou ou autres matières (sauf métal, bois et matières plastiques)")</f>
        <v xml:space="preserve">   Meubles en rotin, osier, bambou ou autres matières (sauf métal, bois et matières plastiques)</v>
      </c>
      <c r="C107">
        <v>9386652</v>
      </c>
      <c r="D107">
        <v>11810</v>
      </c>
    </row>
    <row r="108" spans="1:4" x14ac:dyDescent="0.25">
      <c r="A108" t="str">
        <f>T("CA")</f>
        <v>CA</v>
      </c>
      <c r="B108" t="str">
        <f>T("Canada")</f>
        <v>Canada</v>
      </c>
    </row>
    <row r="109" spans="1:4" x14ac:dyDescent="0.25">
      <c r="A109" t="str">
        <f>T("   ZZ_Total_Produit_SH6")</f>
        <v xml:space="preserve">   ZZ_Total_Produit_SH6</v>
      </c>
      <c r="B109" t="str">
        <f>T("   ZZ_Total_Produit_SH6")</f>
        <v xml:space="preserve">   ZZ_Total_Produit_SH6</v>
      </c>
      <c r="C109">
        <v>3440000</v>
      </c>
      <c r="D109">
        <v>19000</v>
      </c>
    </row>
    <row r="110" spans="1:4" x14ac:dyDescent="0.25">
      <c r="A110" t="str">
        <f>T("   091010")</f>
        <v xml:space="preserve">   091010</v>
      </c>
      <c r="B110" t="str">
        <f>T("   Gingembre")</f>
        <v xml:space="preserve">   Gingembre</v>
      </c>
      <c r="C110">
        <v>240000</v>
      </c>
      <c r="D110">
        <v>16000</v>
      </c>
    </row>
    <row r="111" spans="1:4" x14ac:dyDescent="0.25">
      <c r="A111" t="str">
        <f>T("   620590")</f>
        <v xml:space="preserve">   620590</v>
      </c>
      <c r="B11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1">
        <v>600000</v>
      </c>
      <c r="D111">
        <v>300</v>
      </c>
    </row>
    <row r="112" spans="1:4" x14ac:dyDescent="0.25">
      <c r="A112" t="str">
        <f>T("   621040")</f>
        <v xml:space="preserve">   621040</v>
      </c>
      <c r="B112" t="s">
        <v>55</v>
      </c>
      <c r="C112">
        <v>1200000</v>
      </c>
      <c r="D112">
        <v>1000</v>
      </c>
    </row>
    <row r="113" spans="1:4" x14ac:dyDescent="0.25">
      <c r="A113" t="str">
        <f>T("   732394")</f>
        <v xml:space="preserve">   732394</v>
      </c>
      <c r="B113" t="s">
        <v>72</v>
      </c>
      <c r="C113">
        <v>400000</v>
      </c>
      <c r="D113">
        <v>500</v>
      </c>
    </row>
    <row r="114" spans="1:4" x14ac:dyDescent="0.25">
      <c r="A114" t="str">
        <f>T("   940350")</f>
        <v xml:space="preserve">   940350</v>
      </c>
      <c r="B114" t="str">
        <f>T("   Meubles pour chambres à coucher, en bois (sauf sièges)")</f>
        <v xml:space="preserve">   Meubles pour chambres à coucher, en bois (sauf sièges)</v>
      </c>
      <c r="C114">
        <v>1000000</v>
      </c>
      <c r="D114">
        <v>1200</v>
      </c>
    </row>
    <row r="115" spans="1:4" x14ac:dyDescent="0.25">
      <c r="A115" t="str">
        <f>T("CD")</f>
        <v>CD</v>
      </c>
      <c r="B115" t="str">
        <f>T("Congo, République Démocratique")</f>
        <v>Congo, République Démocratique</v>
      </c>
    </row>
    <row r="116" spans="1:4" x14ac:dyDescent="0.25">
      <c r="A116" t="str">
        <f>T("   ZZ_Total_Produit_SH6")</f>
        <v xml:space="preserve">   ZZ_Total_Produit_SH6</v>
      </c>
      <c r="B116" t="str">
        <f>T("   ZZ_Total_Produit_SH6")</f>
        <v xml:space="preserve">   ZZ_Total_Produit_SH6</v>
      </c>
      <c r="C116">
        <v>110504305</v>
      </c>
      <c r="D116">
        <v>40741</v>
      </c>
    </row>
    <row r="117" spans="1:4" x14ac:dyDescent="0.25">
      <c r="A117" t="str">
        <f>T("   071339")</f>
        <v xml:space="preserve">   071339</v>
      </c>
      <c r="B117"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117">
        <v>2160000</v>
      </c>
      <c r="D117">
        <v>12600</v>
      </c>
    </row>
    <row r="118" spans="1:4" x14ac:dyDescent="0.25">
      <c r="A118" t="str">
        <f>T("   110620")</f>
        <v xml:space="preserve">   110620</v>
      </c>
      <c r="B118" t="str">
        <f>T("   Farines, semoules et poudres de sagou ou des racines ou tubercules du n° 0714")</f>
        <v xml:space="preserve">   Farines, semoules et poudres de sagou ou des racines ou tubercules du n° 0714</v>
      </c>
      <c r="C118">
        <v>2270000</v>
      </c>
      <c r="D118">
        <v>15800</v>
      </c>
    </row>
    <row r="119" spans="1:4" x14ac:dyDescent="0.25">
      <c r="A119" t="str">
        <f>T("   120710")</f>
        <v xml:space="preserve">   120710</v>
      </c>
      <c r="B119" t="str">
        <f>T("   NOIX ET AMANDES DE PALMISTES")</f>
        <v xml:space="preserve">   NOIX ET AMANDES DE PALMISTES</v>
      </c>
      <c r="C119">
        <v>70252997</v>
      </c>
      <c r="D119">
        <v>616</v>
      </c>
    </row>
    <row r="120" spans="1:4" x14ac:dyDescent="0.25">
      <c r="A120" t="str">
        <f>T("   620329")</f>
        <v xml:space="preserve">   620329</v>
      </c>
      <c r="B120"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120">
        <v>20012000</v>
      </c>
      <c r="D120">
        <v>3480</v>
      </c>
    </row>
    <row r="121" spans="1:4" x14ac:dyDescent="0.25">
      <c r="A121" t="str">
        <f>T("   620590")</f>
        <v xml:space="preserve">   620590</v>
      </c>
      <c r="B12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1">
        <v>300000</v>
      </c>
      <c r="D121">
        <v>400</v>
      </c>
    </row>
    <row r="122" spans="1:4" x14ac:dyDescent="0.25">
      <c r="A122" t="str">
        <f>T("   732394")</f>
        <v xml:space="preserve">   732394</v>
      </c>
      <c r="B122" t="s">
        <v>72</v>
      </c>
      <c r="C122">
        <v>400000</v>
      </c>
      <c r="D122">
        <v>530</v>
      </c>
    </row>
    <row r="123" spans="1:4" x14ac:dyDescent="0.25">
      <c r="A123" t="str">
        <f>T("   840820")</f>
        <v xml:space="preserve">   840820</v>
      </c>
      <c r="B123" t="s">
        <v>79</v>
      </c>
      <c r="C123">
        <v>300000</v>
      </c>
      <c r="D123">
        <v>1000</v>
      </c>
    </row>
    <row r="124" spans="1:4" x14ac:dyDescent="0.25">
      <c r="A124" t="str">
        <f>T("   870322")</f>
        <v xml:space="preserve">   870322</v>
      </c>
      <c r="B124" t="s">
        <v>97</v>
      </c>
      <c r="C124">
        <v>1159308</v>
      </c>
      <c r="D124">
        <v>2175</v>
      </c>
    </row>
    <row r="125" spans="1:4" x14ac:dyDescent="0.25">
      <c r="A125" t="str">
        <f>T("   870323")</f>
        <v xml:space="preserve">   870323</v>
      </c>
      <c r="B125" t="s">
        <v>98</v>
      </c>
      <c r="C125">
        <v>10000000</v>
      </c>
      <c r="D125">
        <v>1220</v>
      </c>
    </row>
    <row r="126" spans="1:4" x14ac:dyDescent="0.25">
      <c r="A126" t="str">
        <f>T("   940350")</f>
        <v xml:space="preserve">   940350</v>
      </c>
      <c r="B126" t="str">
        <f>T("   Meubles pour chambres à coucher, en bois (sauf sièges)")</f>
        <v xml:space="preserve">   Meubles pour chambres à coucher, en bois (sauf sièges)</v>
      </c>
      <c r="C126">
        <v>600000</v>
      </c>
      <c r="D126">
        <v>805</v>
      </c>
    </row>
    <row r="127" spans="1:4" x14ac:dyDescent="0.25">
      <c r="A127" t="str">
        <f>T("   940360")</f>
        <v xml:space="preserve">   940360</v>
      </c>
      <c r="B127" t="str">
        <f>T("   Meubles en bois (autres que pour bureaux, cuisines ou chambres à coucher et autres que sièges)")</f>
        <v xml:space="preserve">   Meubles en bois (autres que pour bureaux, cuisines ou chambres à coucher et autres que sièges)</v>
      </c>
      <c r="C127">
        <v>2850000</v>
      </c>
      <c r="D127">
        <v>1850</v>
      </c>
    </row>
    <row r="128" spans="1:4" x14ac:dyDescent="0.25">
      <c r="A128" t="str">
        <f>T("   950299")</f>
        <v xml:space="preserve">   950299</v>
      </c>
      <c r="B128" t="str">
        <f>T("   Parties et accessoires pour poupées représentant uniquement l'être humain, n.d.a.")</f>
        <v xml:space="preserve">   Parties et accessoires pour poupées représentant uniquement l'être humain, n.d.a.</v>
      </c>
      <c r="C128">
        <v>200000</v>
      </c>
      <c r="D128">
        <v>265</v>
      </c>
    </row>
    <row r="129" spans="1:4" x14ac:dyDescent="0.25">
      <c r="A129" t="str">
        <f>T("CG")</f>
        <v>CG</v>
      </c>
      <c r="B129" t="str">
        <f>T("Congo (Brazzaville)")</f>
        <v>Congo (Brazzaville)</v>
      </c>
    </row>
    <row r="130" spans="1:4" x14ac:dyDescent="0.25">
      <c r="A130" t="str">
        <f>T("   ZZ_Total_Produit_SH6")</f>
        <v xml:space="preserve">   ZZ_Total_Produit_SH6</v>
      </c>
      <c r="B130" t="str">
        <f>T("   ZZ_Total_Produit_SH6")</f>
        <v xml:space="preserve">   ZZ_Total_Produit_SH6</v>
      </c>
      <c r="C130">
        <v>113325374</v>
      </c>
      <c r="D130">
        <v>121344</v>
      </c>
    </row>
    <row r="131" spans="1:4" x14ac:dyDescent="0.25">
      <c r="A131" t="str">
        <f>T("   060499")</f>
        <v xml:space="preserve">   060499</v>
      </c>
      <c r="B131"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131">
        <v>615000</v>
      </c>
      <c r="D131">
        <v>10000</v>
      </c>
    </row>
    <row r="132" spans="1:4" x14ac:dyDescent="0.25">
      <c r="A132" t="str">
        <f>T("   071332")</f>
        <v xml:space="preserve">   071332</v>
      </c>
      <c r="B132" t="str">
        <f>T("   Haricots 'petits rouges' [haricots Adzuki] 'Phaseolus ou Vigna angularis', secs, écossés, même décortiqués ou cassés")</f>
        <v xml:space="preserve">   Haricots 'petits rouges' [haricots Adzuki] 'Phaseolus ou Vigna angularis', secs, écossés, même décortiqués ou cassés</v>
      </c>
      <c r="C132">
        <v>1875000</v>
      </c>
      <c r="D132">
        <v>15000</v>
      </c>
    </row>
    <row r="133" spans="1:4" x14ac:dyDescent="0.25">
      <c r="A133" t="str">
        <f>T("   100590")</f>
        <v xml:space="preserve">   100590</v>
      </c>
      <c r="B133" t="str">
        <f>T("   Maïs (autre que de semence)")</f>
        <v xml:space="preserve">   Maïs (autre que de semence)</v>
      </c>
      <c r="C133">
        <v>1000000</v>
      </c>
      <c r="D133">
        <v>5000</v>
      </c>
    </row>
    <row r="134" spans="1:4" x14ac:dyDescent="0.25">
      <c r="A134" t="str">
        <f>T("   110419")</f>
        <v xml:space="preserve">   110419</v>
      </c>
      <c r="B134" t="str">
        <f>T("   GRAINS DE CÉRÉALES, APLATIS OU EN FLOCONS (À L'EXCL. DES GRAINS D'AVOINE)")</f>
        <v xml:space="preserve">   GRAINS DE CÉRÉALES, APLATIS OU EN FLOCONS (À L'EXCL. DES GRAINS D'AVOINE)</v>
      </c>
      <c r="C134">
        <v>1000000</v>
      </c>
      <c r="D134">
        <v>10000</v>
      </c>
    </row>
    <row r="135" spans="1:4" x14ac:dyDescent="0.25">
      <c r="A135" t="str">
        <f>T("   110620")</f>
        <v xml:space="preserve">   110620</v>
      </c>
      <c r="B135" t="str">
        <f>T("   Farines, semoules et poudres de sagou ou des racines ou tubercules du n° 0714")</f>
        <v xml:space="preserve">   Farines, semoules et poudres de sagou ou des racines ou tubercules du n° 0714</v>
      </c>
      <c r="C135">
        <v>3057000</v>
      </c>
      <c r="D135">
        <v>19200</v>
      </c>
    </row>
    <row r="136" spans="1:4" x14ac:dyDescent="0.25">
      <c r="A136" t="str">
        <f>T("   120710")</f>
        <v xml:space="preserve">   120710</v>
      </c>
      <c r="B136" t="str">
        <f>T("   NOIX ET AMANDES DE PALMISTES")</f>
        <v xml:space="preserve">   NOIX ET AMANDES DE PALMISTES</v>
      </c>
      <c r="C136">
        <v>76746969</v>
      </c>
      <c r="D136">
        <v>672</v>
      </c>
    </row>
    <row r="137" spans="1:4" x14ac:dyDescent="0.25">
      <c r="A137" t="str">
        <f>T("   160420")</f>
        <v xml:space="preserve">   160420</v>
      </c>
      <c r="B137" t="str">
        <f>T("   Préparations et conserves de poissons (à l'excl. des préparations et conserves de poissons entiers ou en morceaux)")</f>
        <v xml:space="preserve">   Préparations et conserves de poissons (à l'excl. des préparations et conserves de poissons entiers ou en morceaux)</v>
      </c>
      <c r="C137">
        <v>1678601</v>
      </c>
      <c r="D137">
        <v>27625</v>
      </c>
    </row>
    <row r="138" spans="1:4" x14ac:dyDescent="0.25">
      <c r="A138" t="str">
        <f>T("   392290")</f>
        <v xml:space="preserve">   392290</v>
      </c>
      <c r="B138"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38">
        <v>120000</v>
      </c>
      <c r="D138">
        <v>40</v>
      </c>
    </row>
    <row r="139" spans="1:4" x14ac:dyDescent="0.25">
      <c r="A139" t="str">
        <f>T("   420219")</f>
        <v xml:space="preserve">   420219</v>
      </c>
      <c r="B139" t="s">
        <v>38</v>
      </c>
      <c r="C139">
        <v>2000000</v>
      </c>
      <c r="D139">
        <v>15810</v>
      </c>
    </row>
    <row r="140" spans="1:4" x14ac:dyDescent="0.25">
      <c r="A140" t="str">
        <f>T("   732619")</f>
        <v xml:space="preserve">   732619</v>
      </c>
      <c r="B140"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140">
        <v>2410000</v>
      </c>
      <c r="D140">
        <v>6000</v>
      </c>
    </row>
    <row r="141" spans="1:4" x14ac:dyDescent="0.25">
      <c r="A141" t="str">
        <f>T("   831190")</f>
        <v xml:space="preserve">   831190</v>
      </c>
      <c r="B141" t="s">
        <v>77</v>
      </c>
      <c r="C141">
        <v>200000</v>
      </c>
      <c r="D141">
        <v>1000</v>
      </c>
    </row>
    <row r="142" spans="1:4" x14ac:dyDescent="0.25">
      <c r="A142" t="str">
        <f>T("   870322")</f>
        <v xml:space="preserve">   870322</v>
      </c>
      <c r="B142" t="s">
        <v>97</v>
      </c>
      <c r="C142">
        <v>9257994</v>
      </c>
      <c r="D142">
        <v>4030</v>
      </c>
    </row>
    <row r="143" spans="1:4" x14ac:dyDescent="0.25">
      <c r="A143" t="str">
        <f>T("   870421")</f>
        <v xml:space="preserve">   870421</v>
      </c>
      <c r="B143" t="s">
        <v>102</v>
      </c>
      <c r="C143">
        <v>5705703</v>
      </c>
      <c r="D143">
        <v>1857</v>
      </c>
    </row>
    <row r="144" spans="1:4" x14ac:dyDescent="0.25">
      <c r="A144" t="str">
        <f>T("   870431")</f>
        <v xml:space="preserve">   870431</v>
      </c>
      <c r="B144" t="s">
        <v>105</v>
      </c>
      <c r="C144">
        <v>3874107</v>
      </c>
      <c r="D144">
        <v>1410</v>
      </c>
    </row>
    <row r="145" spans="1:4" x14ac:dyDescent="0.25">
      <c r="A145" t="str">
        <f>T("   870600")</f>
        <v xml:space="preserve">   870600</v>
      </c>
      <c r="B145" t="s">
        <v>106</v>
      </c>
      <c r="C145">
        <v>150000</v>
      </c>
      <c r="D145">
        <v>1000</v>
      </c>
    </row>
    <row r="146" spans="1:4" x14ac:dyDescent="0.25">
      <c r="A146" t="str">
        <f>T("   940320")</f>
        <v xml:space="preserve">   940320</v>
      </c>
      <c r="B14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46">
        <v>450000</v>
      </c>
      <c r="D146">
        <v>300</v>
      </c>
    </row>
    <row r="147" spans="1:4" x14ac:dyDescent="0.25">
      <c r="A147" t="str">
        <f>T("   940360")</f>
        <v xml:space="preserve">   940360</v>
      </c>
      <c r="B147" t="str">
        <f>T("   Meubles en bois (autres que pour bureaux, cuisines ou chambres à coucher et autres que sièges)")</f>
        <v xml:space="preserve">   Meubles en bois (autres que pour bureaux, cuisines ou chambres à coucher et autres que sièges)</v>
      </c>
      <c r="C147">
        <v>1785000</v>
      </c>
      <c r="D147">
        <v>2000</v>
      </c>
    </row>
    <row r="148" spans="1:4" x14ac:dyDescent="0.25">
      <c r="A148" t="str">
        <f>T("   940380")</f>
        <v xml:space="preserve">   940380</v>
      </c>
      <c r="B148" t="str">
        <f>T("   Meubles en rotin, osier, bambou ou autres matières (sauf métal, bois et matières plastiques)")</f>
        <v xml:space="preserve">   Meubles en rotin, osier, bambou ou autres matières (sauf métal, bois et matières plastiques)</v>
      </c>
      <c r="C148">
        <v>1400000</v>
      </c>
      <c r="D148">
        <v>400</v>
      </c>
    </row>
    <row r="149" spans="1:4" x14ac:dyDescent="0.25">
      <c r="A149" t="str">
        <f>T("CH")</f>
        <v>CH</v>
      </c>
      <c r="B149" t="str">
        <f>T("Suisse")</f>
        <v>Suisse</v>
      </c>
    </row>
    <row r="150" spans="1:4" x14ac:dyDescent="0.25">
      <c r="A150" t="str">
        <f>T("   ZZ_Total_Produit_SH6")</f>
        <v xml:space="preserve">   ZZ_Total_Produit_SH6</v>
      </c>
      <c r="B150" t="str">
        <f>T("   ZZ_Total_Produit_SH6")</f>
        <v xml:space="preserve">   ZZ_Total_Produit_SH6</v>
      </c>
      <c r="C150">
        <v>16750000</v>
      </c>
      <c r="D150">
        <v>885000</v>
      </c>
    </row>
    <row r="151" spans="1:4" x14ac:dyDescent="0.25">
      <c r="A151" t="str">
        <f>T("   440399")</f>
        <v xml:space="preserve">   440399</v>
      </c>
      <c r="B151" t="s">
        <v>44</v>
      </c>
      <c r="C151">
        <v>6000000</v>
      </c>
      <c r="D151">
        <v>670000</v>
      </c>
    </row>
    <row r="152" spans="1:4" x14ac:dyDescent="0.25">
      <c r="A152" t="str">
        <f>T("   720449")</f>
        <v xml:space="preserve">   720449</v>
      </c>
      <c r="B152" t="s">
        <v>64</v>
      </c>
      <c r="C152">
        <v>10750000</v>
      </c>
      <c r="D152">
        <v>215000</v>
      </c>
    </row>
    <row r="153" spans="1:4" x14ac:dyDescent="0.25">
      <c r="A153" t="str">
        <f>T("CI")</f>
        <v>CI</v>
      </c>
      <c r="B153" t="str">
        <f>T("Côte d'Ivoire")</f>
        <v>Côte d'Ivoire</v>
      </c>
    </row>
    <row r="154" spans="1:4" x14ac:dyDescent="0.25">
      <c r="A154" t="str">
        <f>T("   ZZ_Total_Produit_SH6")</f>
        <v xml:space="preserve">   ZZ_Total_Produit_SH6</v>
      </c>
      <c r="B154" t="str">
        <f>T("   ZZ_Total_Produit_SH6")</f>
        <v xml:space="preserve">   ZZ_Total_Produit_SH6</v>
      </c>
      <c r="C154">
        <v>4992409142</v>
      </c>
      <c r="D154">
        <v>6838563</v>
      </c>
    </row>
    <row r="155" spans="1:4" x14ac:dyDescent="0.25">
      <c r="A155" t="str">
        <f>T("   230400")</f>
        <v xml:space="preserve">   230400</v>
      </c>
      <c r="B155"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55">
        <v>310510000</v>
      </c>
      <c r="D155">
        <v>1052000</v>
      </c>
    </row>
    <row r="156" spans="1:4" x14ac:dyDescent="0.25">
      <c r="A156" t="str">
        <f>T("   230610")</f>
        <v xml:space="preserve">   230610</v>
      </c>
      <c r="B156"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56">
        <v>629147795</v>
      </c>
      <c r="D156">
        <v>4100460</v>
      </c>
    </row>
    <row r="157" spans="1:4" x14ac:dyDescent="0.25">
      <c r="A157" t="str">
        <f>T("   230649")</f>
        <v xml:space="preserve">   230649</v>
      </c>
      <c r="B157" t="s">
        <v>23</v>
      </c>
      <c r="C157">
        <v>18300000</v>
      </c>
      <c r="D157">
        <v>60000</v>
      </c>
    </row>
    <row r="158" spans="1:4" x14ac:dyDescent="0.25">
      <c r="A158" t="str">
        <f>T("   251319")</f>
        <v xml:space="preserve">   251319</v>
      </c>
      <c r="B158" t="str">
        <f>T("   Pierre ponce, broyée ou pulvérisée")</f>
        <v xml:space="preserve">   Pierre ponce, broyée ou pulvérisée</v>
      </c>
      <c r="C158">
        <v>6000000</v>
      </c>
      <c r="D158">
        <v>191386</v>
      </c>
    </row>
    <row r="159" spans="1:4" x14ac:dyDescent="0.25">
      <c r="A159" t="str">
        <f>T("   271019")</f>
        <v xml:space="preserve">   271019</v>
      </c>
      <c r="B159" t="str">
        <f>T("   Huiles moyennes et préparations, de pétrole ou de minéraux bitumineux, n.d.a.")</f>
        <v xml:space="preserve">   Huiles moyennes et préparations, de pétrole ou de minéraux bitumineux, n.d.a.</v>
      </c>
      <c r="C159">
        <v>54715873</v>
      </c>
      <c r="D159">
        <v>105674</v>
      </c>
    </row>
    <row r="160" spans="1:4" x14ac:dyDescent="0.25">
      <c r="A160" t="str">
        <f>T("   271320")</f>
        <v xml:space="preserve">   271320</v>
      </c>
      <c r="B160" t="str">
        <f>T("   Bitume de pétrole")</f>
        <v xml:space="preserve">   Bitume de pétrole</v>
      </c>
      <c r="C160">
        <v>4260000</v>
      </c>
      <c r="D160">
        <v>10000</v>
      </c>
    </row>
    <row r="161" spans="1:4" x14ac:dyDescent="0.25">
      <c r="A161" t="str">
        <f>T("   370790")</f>
        <v xml:space="preserve">   370790</v>
      </c>
      <c r="B161" t="s">
        <v>35</v>
      </c>
      <c r="C161">
        <v>3529411</v>
      </c>
      <c r="D161">
        <v>5450</v>
      </c>
    </row>
    <row r="162" spans="1:4" x14ac:dyDescent="0.25">
      <c r="A162" t="str">
        <f>T("   382490")</f>
        <v xml:space="preserve">   382490</v>
      </c>
      <c r="B16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62">
        <v>3461520</v>
      </c>
      <c r="D162">
        <v>11017</v>
      </c>
    </row>
    <row r="163" spans="1:4" x14ac:dyDescent="0.25">
      <c r="A163" t="str">
        <f>T("   490700")</f>
        <v xml:space="preserve">   490700</v>
      </c>
      <c r="B163" t="s">
        <v>52</v>
      </c>
      <c r="C163">
        <v>33400000</v>
      </c>
      <c r="D163">
        <v>16136</v>
      </c>
    </row>
    <row r="164" spans="1:4" x14ac:dyDescent="0.25">
      <c r="A164" t="str">
        <f>T("   520812")</f>
        <v xml:space="preserve">   520812</v>
      </c>
      <c r="B164" t="str">
        <f>T("   Tissus de coton, écrus, à armure toile, contenant &gt;= 85% en poids de coton, d'un poids &gt; 100 g/m² mais &lt;= 200 g/m²")</f>
        <v xml:space="preserve">   Tissus de coton, écrus, à armure toile, contenant &gt;= 85% en poids de coton, d'un poids &gt; 100 g/m² mais &lt;= 200 g/m²</v>
      </c>
      <c r="C164">
        <v>3817605120</v>
      </c>
      <c r="D164">
        <v>1158074</v>
      </c>
    </row>
    <row r="165" spans="1:4" x14ac:dyDescent="0.25">
      <c r="A165" t="str">
        <f>T("   630900")</f>
        <v xml:space="preserve">   630900</v>
      </c>
      <c r="B165" t="s">
        <v>57</v>
      </c>
      <c r="C165">
        <v>11000000</v>
      </c>
      <c r="D165">
        <v>38000</v>
      </c>
    </row>
    <row r="166" spans="1:4" x14ac:dyDescent="0.25">
      <c r="A166" t="str">
        <f>T("   732399")</f>
        <v xml:space="preserve">   732399</v>
      </c>
      <c r="B166" t="s">
        <v>73</v>
      </c>
      <c r="C166">
        <v>40000441</v>
      </c>
      <c r="D166">
        <v>16000</v>
      </c>
    </row>
    <row r="167" spans="1:4" x14ac:dyDescent="0.25">
      <c r="A167" t="str">
        <f>T("   831130")</f>
        <v xml:space="preserve">   831130</v>
      </c>
      <c r="B167" t="s">
        <v>76</v>
      </c>
      <c r="C167">
        <v>960000</v>
      </c>
      <c r="D167">
        <v>1600</v>
      </c>
    </row>
    <row r="168" spans="1:4" x14ac:dyDescent="0.25">
      <c r="A168" t="str">
        <f>T("   842919")</f>
        <v xml:space="preserve">   842919</v>
      </c>
      <c r="B168" t="str">
        <f>T("   Bouteurs 'bulldozers' et bouteurs biais 'angledozers', sur roues")</f>
        <v xml:space="preserve">   Bouteurs 'bulldozers' et bouteurs biais 'angledozers', sur roues</v>
      </c>
      <c r="C168">
        <v>6231620</v>
      </c>
      <c r="D168">
        <v>6000</v>
      </c>
    </row>
    <row r="169" spans="1:4" x14ac:dyDescent="0.25">
      <c r="A169" t="str">
        <f>T("   842959")</f>
        <v xml:space="preserve">   842959</v>
      </c>
      <c r="B16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169">
        <v>8000000</v>
      </c>
      <c r="D169">
        <v>9600</v>
      </c>
    </row>
    <row r="170" spans="1:4" x14ac:dyDescent="0.25">
      <c r="A170" t="str">
        <f>T("   870322")</f>
        <v xml:space="preserve">   870322</v>
      </c>
      <c r="B170" t="s">
        <v>97</v>
      </c>
      <c r="C170">
        <v>2863553</v>
      </c>
      <c r="D170">
        <v>2480</v>
      </c>
    </row>
    <row r="171" spans="1:4" x14ac:dyDescent="0.25">
      <c r="A171" t="str">
        <f>T("   870323")</f>
        <v xml:space="preserve">   870323</v>
      </c>
      <c r="B171" t="s">
        <v>98</v>
      </c>
      <c r="C171">
        <v>14443309</v>
      </c>
      <c r="D171">
        <v>4201</v>
      </c>
    </row>
    <row r="172" spans="1:4" x14ac:dyDescent="0.25">
      <c r="A172" t="str">
        <f>T("   870333")</f>
        <v xml:space="preserve">   870333</v>
      </c>
      <c r="B172" t="s">
        <v>101</v>
      </c>
      <c r="C172">
        <v>9446820</v>
      </c>
      <c r="D172">
        <v>2085</v>
      </c>
    </row>
    <row r="173" spans="1:4" x14ac:dyDescent="0.25">
      <c r="A173" t="str">
        <f>T("   870421")</f>
        <v xml:space="preserve">   870421</v>
      </c>
      <c r="B173" t="s">
        <v>102</v>
      </c>
      <c r="C173">
        <v>5247680</v>
      </c>
      <c r="D173">
        <v>3000</v>
      </c>
    </row>
    <row r="174" spans="1:4" x14ac:dyDescent="0.25">
      <c r="A174" t="str">
        <f>T("   901920")</f>
        <v xml:space="preserve">   901920</v>
      </c>
      <c r="B174"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174">
        <v>9885000</v>
      </c>
      <c r="D174">
        <v>7000</v>
      </c>
    </row>
    <row r="175" spans="1:4" x14ac:dyDescent="0.25">
      <c r="A175" t="str">
        <f>T("   940360")</f>
        <v xml:space="preserve">   940360</v>
      </c>
      <c r="B175" t="str">
        <f>T("   Meubles en bois (autres que pour bureaux, cuisines ou chambres à coucher et autres que sièges)")</f>
        <v xml:space="preserve">   Meubles en bois (autres que pour bureaux, cuisines ou chambres à coucher et autres que sièges)</v>
      </c>
      <c r="C175">
        <v>1301000</v>
      </c>
      <c r="D175">
        <v>3400</v>
      </c>
    </row>
    <row r="176" spans="1:4" x14ac:dyDescent="0.25">
      <c r="A176" t="str">
        <f>T("   940380")</f>
        <v xml:space="preserve">   940380</v>
      </c>
      <c r="B176" t="str">
        <f>T("   Meubles en rotin, osier, bambou ou autres matières (sauf métal, bois et matières plastiques)")</f>
        <v xml:space="preserve">   Meubles en rotin, osier, bambou ou autres matières (sauf métal, bois et matières plastiques)</v>
      </c>
      <c r="C176">
        <v>2100000</v>
      </c>
      <c r="D176">
        <v>35000</v>
      </c>
    </row>
    <row r="177" spans="1:4" x14ac:dyDescent="0.25">
      <c r="A177" t="str">
        <f>T("CL")</f>
        <v>CL</v>
      </c>
      <c r="B177" t="str">
        <f>T("Chili")</f>
        <v>Chili</v>
      </c>
    </row>
    <row r="178" spans="1:4" x14ac:dyDescent="0.25">
      <c r="A178" t="str">
        <f>T("   ZZ_Total_Produit_SH6")</f>
        <v xml:space="preserve">   ZZ_Total_Produit_SH6</v>
      </c>
      <c r="B178" t="str">
        <f>T("   ZZ_Total_Produit_SH6")</f>
        <v xml:space="preserve">   ZZ_Total_Produit_SH6</v>
      </c>
      <c r="C178">
        <v>3000000</v>
      </c>
      <c r="D178">
        <v>4000</v>
      </c>
    </row>
    <row r="179" spans="1:4" x14ac:dyDescent="0.25">
      <c r="A179" t="str">
        <f>T("   620590")</f>
        <v xml:space="preserve">   620590</v>
      </c>
      <c r="B17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79">
        <v>750000</v>
      </c>
      <c r="D179">
        <v>1000</v>
      </c>
    </row>
    <row r="180" spans="1:4" x14ac:dyDescent="0.25">
      <c r="A180" t="str">
        <f>T("   732394")</f>
        <v xml:space="preserve">   732394</v>
      </c>
      <c r="B180" t="s">
        <v>72</v>
      </c>
      <c r="C180">
        <v>900000</v>
      </c>
      <c r="D180">
        <v>1100</v>
      </c>
    </row>
    <row r="181" spans="1:4" x14ac:dyDescent="0.25">
      <c r="A181" t="str">
        <f>T("   940350")</f>
        <v xml:space="preserve">   940350</v>
      </c>
      <c r="B181" t="str">
        <f>T("   Meubles pour chambres à coucher, en bois (sauf sièges)")</f>
        <v xml:space="preserve">   Meubles pour chambres à coucher, en bois (sauf sièges)</v>
      </c>
      <c r="C181">
        <v>1200000</v>
      </c>
      <c r="D181">
        <v>1600</v>
      </c>
    </row>
    <row r="182" spans="1:4" x14ac:dyDescent="0.25">
      <c r="A182" t="str">
        <f>T("   950299")</f>
        <v xml:space="preserve">   950299</v>
      </c>
      <c r="B182" t="str">
        <f>T("   Parties et accessoires pour poupées représentant uniquement l'être humain, n.d.a.")</f>
        <v xml:space="preserve">   Parties et accessoires pour poupées représentant uniquement l'être humain, n.d.a.</v>
      </c>
      <c r="C182">
        <v>150000</v>
      </c>
      <c r="D182">
        <v>300</v>
      </c>
    </row>
    <row r="183" spans="1:4" x14ac:dyDescent="0.25">
      <c r="A183" t="str">
        <f>T("CM")</f>
        <v>CM</v>
      </c>
      <c r="B183" t="str">
        <f>T("Cameroun")</f>
        <v>Cameroun</v>
      </c>
    </row>
    <row r="184" spans="1:4" x14ac:dyDescent="0.25">
      <c r="A184" t="str">
        <f>T("   ZZ_Total_Produit_SH6")</f>
        <v xml:space="preserve">   ZZ_Total_Produit_SH6</v>
      </c>
      <c r="B184" t="str">
        <f>T("   ZZ_Total_Produit_SH6")</f>
        <v xml:space="preserve">   ZZ_Total_Produit_SH6</v>
      </c>
      <c r="C184">
        <v>1422864547</v>
      </c>
      <c r="D184">
        <v>465706</v>
      </c>
    </row>
    <row r="185" spans="1:4" x14ac:dyDescent="0.25">
      <c r="A185" t="str">
        <f>T("   100590")</f>
        <v xml:space="preserve">   100590</v>
      </c>
      <c r="B185" t="str">
        <f>T("   Maïs (autre que de semence)")</f>
        <v xml:space="preserve">   Maïs (autre que de semence)</v>
      </c>
      <c r="C185">
        <v>1350000</v>
      </c>
      <c r="D185">
        <v>18750</v>
      </c>
    </row>
    <row r="186" spans="1:4" x14ac:dyDescent="0.25">
      <c r="A186" t="str">
        <f>T("   230400")</f>
        <v xml:space="preserve">   230400</v>
      </c>
      <c r="B18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86">
        <v>18221414</v>
      </c>
      <c r="D186">
        <v>99208</v>
      </c>
    </row>
    <row r="187" spans="1:4" x14ac:dyDescent="0.25">
      <c r="A187" t="str">
        <f>T("   300390")</f>
        <v xml:space="preserve">   300390</v>
      </c>
      <c r="B187" t="s">
        <v>27</v>
      </c>
      <c r="C187">
        <v>486178005</v>
      </c>
      <c r="D187">
        <v>35015</v>
      </c>
    </row>
    <row r="188" spans="1:4" x14ac:dyDescent="0.25">
      <c r="A188" t="str">
        <f>T("   300490")</f>
        <v xml:space="preserve">   300490</v>
      </c>
      <c r="B188" t="s">
        <v>29</v>
      </c>
      <c r="C188">
        <v>10345000</v>
      </c>
      <c r="D188">
        <v>2530</v>
      </c>
    </row>
    <row r="189" spans="1:4" x14ac:dyDescent="0.25">
      <c r="A189" t="str">
        <f>T("   490199")</f>
        <v xml:space="preserve">   490199</v>
      </c>
      <c r="B18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89">
        <v>12800403</v>
      </c>
      <c r="D189">
        <v>1005</v>
      </c>
    </row>
    <row r="190" spans="1:4" x14ac:dyDescent="0.25">
      <c r="A190" t="str">
        <f>T("   520812")</f>
        <v xml:space="preserve">   520812</v>
      </c>
      <c r="B190" t="str">
        <f>T("   Tissus de coton, écrus, à armure toile, contenant &gt;= 85% en poids de coton, d'un poids &gt; 100 g/m² mais &lt;= 200 g/m²")</f>
        <v xml:space="preserve">   Tissus de coton, écrus, à armure toile, contenant &gt;= 85% en poids de coton, d'un poids &gt; 100 g/m² mais &lt;= 200 g/m²</v>
      </c>
      <c r="C190">
        <v>622524000</v>
      </c>
      <c r="D190">
        <v>200345</v>
      </c>
    </row>
    <row r="191" spans="1:4" x14ac:dyDescent="0.25">
      <c r="A191" t="str">
        <f>T("   521211")</f>
        <v xml:space="preserve">   521211</v>
      </c>
      <c r="B191"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191">
        <v>251806800</v>
      </c>
      <c r="D191">
        <v>82608</v>
      </c>
    </row>
    <row r="192" spans="1:4" x14ac:dyDescent="0.25">
      <c r="A192" t="str">
        <f>T("   620590")</f>
        <v xml:space="preserve">   620590</v>
      </c>
      <c r="B19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92">
        <v>1600000</v>
      </c>
      <c r="D192">
        <v>1500</v>
      </c>
    </row>
    <row r="193" spans="1:4" x14ac:dyDescent="0.25">
      <c r="A193" t="str">
        <f>T("   701090")</f>
        <v xml:space="preserve">   701090</v>
      </c>
      <c r="B193" t="s">
        <v>62</v>
      </c>
      <c r="C193">
        <v>264000</v>
      </c>
      <c r="D193">
        <v>60</v>
      </c>
    </row>
    <row r="194" spans="1:4" x14ac:dyDescent="0.25">
      <c r="A194" t="str">
        <f>T("   732394")</f>
        <v xml:space="preserve">   732394</v>
      </c>
      <c r="B194" t="s">
        <v>72</v>
      </c>
      <c r="C194">
        <v>1100000</v>
      </c>
      <c r="D194">
        <v>1200</v>
      </c>
    </row>
    <row r="195" spans="1:4" x14ac:dyDescent="0.25">
      <c r="A195" t="str">
        <f>T("   870322")</f>
        <v xml:space="preserve">   870322</v>
      </c>
      <c r="B195" t="s">
        <v>97</v>
      </c>
      <c r="C195">
        <v>1000000</v>
      </c>
      <c r="D195">
        <v>1090</v>
      </c>
    </row>
    <row r="196" spans="1:4" x14ac:dyDescent="0.25">
      <c r="A196" t="str">
        <f>T("   870323")</f>
        <v xml:space="preserve">   870323</v>
      </c>
      <c r="B196" t="s">
        <v>98</v>
      </c>
      <c r="C196">
        <v>6124925</v>
      </c>
      <c r="D196">
        <v>1445</v>
      </c>
    </row>
    <row r="197" spans="1:4" x14ac:dyDescent="0.25">
      <c r="A197" t="str">
        <f>T("   940350")</f>
        <v xml:space="preserve">   940350</v>
      </c>
      <c r="B197" t="str">
        <f>T("   Meubles pour chambres à coucher, en bois (sauf sièges)")</f>
        <v xml:space="preserve">   Meubles pour chambres à coucher, en bois (sauf sièges)</v>
      </c>
      <c r="C197">
        <v>2800000</v>
      </c>
      <c r="D197">
        <v>4300</v>
      </c>
    </row>
    <row r="198" spans="1:4" x14ac:dyDescent="0.25">
      <c r="A198" t="str">
        <f>T("   940360")</f>
        <v xml:space="preserve">   940360</v>
      </c>
      <c r="B198" t="str">
        <f>T("   Meubles en bois (autres que pour bureaux, cuisines ou chambres à coucher et autres que sièges)")</f>
        <v xml:space="preserve">   Meubles en bois (autres que pour bureaux, cuisines ou chambres à coucher et autres que sièges)</v>
      </c>
      <c r="C198">
        <v>1500000</v>
      </c>
      <c r="D198">
        <v>1500</v>
      </c>
    </row>
    <row r="199" spans="1:4" x14ac:dyDescent="0.25">
      <c r="A199" t="str">
        <f>T("   940380")</f>
        <v xml:space="preserve">   940380</v>
      </c>
      <c r="B199" t="str">
        <f>T("   Meubles en rotin, osier, bambou ou autres matières (sauf métal, bois et matières plastiques)")</f>
        <v xml:space="preserve">   Meubles en rotin, osier, bambou ou autres matières (sauf métal, bois et matières plastiques)</v>
      </c>
      <c r="C199">
        <v>5250000</v>
      </c>
      <c r="D199">
        <v>15150</v>
      </c>
    </row>
    <row r="200" spans="1:4" x14ac:dyDescent="0.25">
      <c r="A200" t="str">
        <f>T("CN")</f>
        <v>CN</v>
      </c>
      <c r="B200" t="str">
        <f>T("Chine")</f>
        <v>Chine</v>
      </c>
    </row>
    <row r="201" spans="1:4" x14ac:dyDescent="0.25">
      <c r="A201" t="str">
        <f>T("   ZZ_Total_Produit_SH6")</f>
        <v xml:space="preserve">   ZZ_Total_Produit_SH6</v>
      </c>
      <c r="B201" t="str">
        <f>T("   ZZ_Total_Produit_SH6")</f>
        <v xml:space="preserve">   ZZ_Total_Produit_SH6</v>
      </c>
      <c r="C201">
        <v>26777946124</v>
      </c>
      <c r="D201">
        <v>121181809.5</v>
      </c>
    </row>
    <row r="202" spans="1:4" x14ac:dyDescent="0.25">
      <c r="A202" t="str">
        <f>T("   030223")</f>
        <v xml:space="preserve">   030223</v>
      </c>
      <c r="B202" t="str">
        <f>T("   Soles [Solea spp.], fraîches ou réfrigérées")</f>
        <v xml:space="preserve">   Soles [Solea spp.], fraîches ou réfrigérées</v>
      </c>
      <c r="C202">
        <v>1110000</v>
      </c>
      <c r="D202">
        <v>740</v>
      </c>
    </row>
    <row r="203" spans="1:4" x14ac:dyDescent="0.25">
      <c r="A203" t="str">
        <f>T("   030621")</f>
        <v xml:space="preserve">   030621</v>
      </c>
      <c r="B203" t="str">
        <f>T("   Langoustes [Palinurus spp., Panulirus spp., Jasus spp.], même décortiquées, vivantes, fraîches, réfrigérées, séchées, salées ou en saumure, y.c. les langoustes non décortiquées préalablement cuites à l'eau ou à la vapeur")</f>
        <v xml:space="preserve">   Langoustes [Palinurus spp., Panulirus spp., Jasus spp.], même décortiquées, vivantes, fraîches, réfrigérées, séchées, salées ou en saumure, y.c. les langoustes non décortiquées préalablement cuites à l'eau ou à la vapeur</v>
      </c>
      <c r="C203">
        <v>3965000</v>
      </c>
      <c r="D203">
        <v>1810</v>
      </c>
    </row>
    <row r="204" spans="1:4" x14ac:dyDescent="0.25">
      <c r="A204" t="str">
        <f>T("   030623")</f>
        <v xml:space="preserve">   030623</v>
      </c>
      <c r="B204"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204">
        <v>56723000</v>
      </c>
      <c r="D204">
        <v>19358.5</v>
      </c>
    </row>
    <row r="205" spans="1:4" x14ac:dyDescent="0.25">
      <c r="A205" t="str">
        <f>T("   030624")</f>
        <v xml:space="preserve">   030624</v>
      </c>
      <c r="B205" t="str">
        <f>T("   CRABES, MÊME DÉCORTIQUÉS, VIVANTS, FRAIS, RÉFRIGÉRÉS, SÉCHÉS, SALÉS OU EN SAUMURE, Y.C. LES CRABES NON-DÉCORTIQUÉS PRÉALABLEMENT CUITS À L'EAU OU À LA VAPEUR")</f>
        <v xml:space="preserve">   CRABES, MÊME DÉCORTIQUÉS, VIVANTS, FRAIS, RÉFRIGÉRÉS, SÉCHÉS, SALÉS OU EN SAUMURE, Y.C. LES CRABES NON-DÉCORTIQUÉS PRÉALABLEMENT CUITS À L'EAU OU À LA VAPEUR</v>
      </c>
      <c r="C205">
        <v>1072000</v>
      </c>
      <c r="D205">
        <v>2320</v>
      </c>
    </row>
    <row r="206" spans="1:4" x14ac:dyDescent="0.25">
      <c r="A206" t="str">
        <f>T("   080121")</f>
        <v xml:space="preserve">   080121</v>
      </c>
      <c r="B206" t="str">
        <f>T("   Noix du Brésil, fraîches ou sèches, en coques")</f>
        <v xml:space="preserve">   Noix du Brésil, fraîches ou sèches, en coques</v>
      </c>
      <c r="C206">
        <v>21189916</v>
      </c>
      <c r="D206">
        <v>101360</v>
      </c>
    </row>
    <row r="207" spans="1:4" x14ac:dyDescent="0.25">
      <c r="A207" t="str">
        <f>T("   080131")</f>
        <v xml:space="preserve">   080131</v>
      </c>
      <c r="B207" t="str">
        <f>T("   Noix de cajou, fraîches ou sèches, en coques")</f>
        <v xml:space="preserve">   Noix de cajou, fraîches ou sèches, en coques</v>
      </c>
      <c r="C207">
        <v>38350000</v>
      </c>
      <c r="D207">
        <v>200000</v>
      </c>
    </row>
    <row r="208" spans="1:4" x14ac:dyDescent="0.25">
      <c r="A208" t="str">
        <f>T("   120710")</f>
        <v xml:space="preserve">   120710</v>
      </c>
      <c r="B208" t="str">
        <f>T("   NOIX ET AMANDES DE PALMISTES")</f>
        <v xml:space="preserve">   NOIX ET AMANDES DE PALMISTES</v>
      </c>
      <c r="C208">
        <v>1800000</v>
      </c>
      <c r="D208">
        <v>12000</v>
      </c>
    </row>
    <row r="209" spans="1:4" x14ac:dyDescent="0.25">
      <c r="A209" t="str">
        <f>T("   120740")</f>
        <v xml:space="preserve">   120740</v>
      </c>
      <c r="B209" t="str">
        <f>T("   Graines de sésame, même concassées")</f>
        <v xml:space="preserve">   Graines de sésame, même concassées</v>
      </c>
      <c r="C209">
        <v>125172116</v>
      </c>
      <c r="D209">
        <v>226654</v>
      </c>
    </row>
    <row r="210" spans="1:4" x14ac:dyDescent="0.25">
      <c r="A210" t="str">
        <f>T("   140420")</f>
        <v xml:space="preserve">   140420</v>
      </c>
      <c r="B210" t="str">
        <f>T("   Linters de coton")</f>
        <v xml:space="preserve">   Linters de coton</v>
      </c>
      <c r="C210">
        <v>508740253</v>
      </c>
      <c r="D210">
        <v>923493</v>
      </c>
    </row>
    <row r="211" spans="1:4" x14ac:dyDescent="0.25">
      <c r="A211" t="str">
        <f>T("   392321")</f>
        <v xml:space="preserve">   392321</v>
      </c>
      <c r="B211" t="str">
        <f>T("   Sacs, sachets, pochettes et cornets, en polymères de l'éthylène")</f>
        <v xml:space="preserve">   Sacs, sachets, pochettes et cornets, en polymères de l'éthylène</v>
      </c>
      <c r="C211">
        <v>59873460</v>
      </c>
      <c r="D211">
        <v>41437</v>
      </c>
    </row>
    <row r="212" spans="1:4" x14ac:dyDescent="0.25">
      <c r="A212" t="str">
        <f>T("   410530")</f>
        <v xml:space="preserve">   410530</v>
      </c>
      <c r="B212" t="str">
        <f>T("   PEAUX D'OVINS, À L'ÉTAT SEC [EN CROÛTE], ÉPILÉES, MÊME REFENDUES (SAUF AUTREMENT PRÉPARÉÉS AINSI QUE SIMPL. PRÉTANNÉES)")</f>
        <v xml:space="preserve">   PEAUX D'OVINS, À L'ÉTAT SEC [EN CROÛTE], ÉPILÉES, MÊME REFENDUES (SAUF AUTREMENT PRÉPARÉÉS AINSI QUE SIMPL. PRÉTANNÉES)</v>
      </c>
      <c r="C212">
        <v>22645000</v>
      </c>
      <c r="D212">
        <v>15609</v>
      </c>
    </row>
    <row r="213" spans="1:4" x14ac:dyDescent="0.25">
      <c r="A213" t="str">
        <f>T("   440110")</f>
        <v xml:space="preserve">   440110</v>
      </c>
      <c r="B213" t="str">
        <f>T("   BOIS DE CHAUFFAGE EN RONDINS, B¹CHES, RAMILLES, FAGOTS OU SOUS FORMES SIMIL.")</f>
        <v xml:space="preserve">   BOIS DE CHAUFFAGE EN RONDINS, B¹CHES, RAMILLES, FAGOTS OU SOUS FORMES SIMIL.</v>
      </c>
      <c r="C213">
        <v>13000000</v>
      </c>
      <c r="D213">
        <v>130000</v>
      </c>
    </row>
    <row r="214" spans="1:4" x14ac:dyDescent="0.25">
      <c r="A214" t="str">
        <f>T("   440121")</f>
        <v xml:space="preserve">   440121</v>
      </c>
      <c r="B214" t="str">
        <f>T("   Bois de conifères, en plaquettes ou en particules (à l'excl. des bois des espèces utilisées principalement pour la teinture ou le tannage)")</f>
        <v xml:space="preserve">   Bois de conifères, en plaquettes ou en particules (à l'excl. des bois des espèces utilisées principalement pour la teinture ou le tannage)</v>
      </c>
      <c r="C214">
        <v>6120000</v>
      </c>
      <c r="D214">
        <v>40000</v>
      </c>
    </row>
    <row r="215" spans="1:4" x14ac:dyDescent="0.25">
      <c r="A215" t="str">
        <f>T("   440320")</f>
        <v xml:space="preserve">   440320</v>
      </c>
      <c r="B215" t="s">
        <v>42</v>
      </c>
      <c r="C215">
        <v>59865919</v>
      </c>
      <c r="D215">
        <v>440000</v>
      </c>
    </row>
    <row r="216" spans="1:4" x14ac:dyDescent="0.25">
      <c r="A216" t="str">
        <f>T("   440349")</f>
        <v xml:space="preserve">   440349</v>
      </c>
      <c r="B216" t="s">
        <v>43</v>
      </c>
      <c r="C216">
        <v>6489300</v>
      </c>
      <c r="D216">
        <v>30000</v>
      </c>
    </row>
    <row r="217" spans="1:4" x14ac:dyDescent="0.25">
      <c r="A217" t="str">
        <f>T("   440399")</f>
        <v xml:space="preserve">   440399</v>
      </c>
      <c r="B217" t="s">
        <v>44</v>
      </c>
      <c r="C217">
        <v>109870500</v>
      </c>
      <c r="D217">
        <v>9300859</v>
      </c>
    </row>
    <row r="218" spans="1:4" x14ac:dyDescent="0.25">
      <c r="A218" t="str">
        <f>T("   440420")</f>
        <v xml:space="preserve">   440420</v>
      </c>
      <c r="B218" t="s">
        <v>46</v>
      </c>
      <c r="C218">
        <v>134098878</v>
      </c>
      <c r="D218">
        <v>616000</v>
      </c>
    </row>
    <row r="219" spans="1:4" x14ac:dyDescent="0.25">
      <c r="A219" t="str">
        <f>T("   440500")</f>
        <v xml:space="preserve">   440500</v>
      </c>
      <c r="B219"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19">
        <v>95850000</v>
      </c>
      <c r="D219">
        <v>2512000</v>
      </c>
    </row>
    <row r="220" spans="1:4" x14ac:dyDescent="0.25">
      <c r="A220" t="str">
        <f>T("   440729")</f>
        <v xml:space="preserve">   440729</v>
      </c>
      <c r="B220" t="s">
        <v>47</v>
      </c>
      <c r="C220">
        <v>138428743</v>
      </c>
      <c r="D220">
        <v>18334000</v>
      </c>
    </row>
    <row r="221" spans="1:4" x14ac:dyDescent="0.25">
      <c r="A221" t="str">
        <f>T("   440799")</f>
        <v xml:space="preserve">   440799</v>
      </c>
      <c r="B221" t="s">
        <v>48</v>
      </c>
      <c r="C221">
        <v>440356300</v>
      </c>
      <c r="D221">
        <v>17107000</v>
      </c>
    </row>
    <row r="222" spans="1:4" x14ac:dyDescent="0.25">
      <c r="A222" t="str">
        <f>T("   440920")</f>
        <v xml:space="preserve">   440920</v>
      </c>
      <c r="B222" t="s">
        <v>50</v>
      </c>
      <c r="C222">
        <v>25440233</v>
      </c>
      <c r="D222">
        <v>333113</v>
      </c>
    </row>
    <row r="223" spans="1:4" x14ac:dyDescent="0.25">
      <c r="A223" t="str">
        <f>T("   482390")</f>
        <v xml:space="preserve">   482390</v>
      </c>
      <c r="B223" t="s">
        <v>51</v>
      </c>
      <c r="C223">
        <v>3000000</v>
      </c>
      <c r="D223">
        <v>30000</v>
      </c>
    </row>
    <row r="224" spans="1:4" x14ac:dyDescent="0.25">
      <c r="A224" t="str">
        <f>T("   490110")</f>
        <v xml:space="preserve">   490110</v>
      </c>
      <c r="B224"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224">
        <v>4000000</v>
      </c>
      <c r="D224">
        <v>40000</v>
      </c>
    </row>
    <row r="225" spans="1:4" x14ac:dyDescent="0.25">
      <c r="A225" t="str">
        <f>T("   520100")</f>
        <v xml:space="preserve">   520100</v>
      </c>
      <c r="B225" t="str">
        <f>T("   COTON, NON-CARDÉ NI PEIGNÉ")</f>
        <v xml:space="preserve">   COTON, NON-CARDÉ NI PEIGNÉ</v>
      </c>
      <c r="C225">
        <v>19921715691</v>
      </c>
      <c r="D225">
        <v>26056351</v>
      </c>
    </row>
    <row r="226" spans="1:4" x14ac:dyDescent="0.25">
      <c r="A226" t="str">
        <f>T("   520299")</f>
        <v xml:space="preserve">   520299</v>
      </c>
      <c r="B226" t="str">
        <f>T("   Déchets de coton (à l'excl. des déchets de fils et des effilochés)")</f>
        <v xml:space="preserve">   Déchets de coton (à l'excl. des déchets de fils et des effilochés)</v>
      </c>
      <c r="C226">
        <v>140385383</v>
      </c>
      <c r="D226">
        <v>360678</v>
      </c>
    </row>
    <row r="227" spans="1:4" x14ac:dyDescent="0.25">
      <c r="A227" t="str">
        <f>T("   520300")</f>
        <v xml:space="preserve">   520300</v>
      </c>
      <c r="B227" t="str">
        <f>T("   Coton, cardé ou peigné")</f>
        <v xml:space="preserve">   Coton, cardé ou peigné</v>
      </c>
      <c r="C227">
        <v>134022195</v>
      </c>
      <c r="D227">
        <v>268838</v>
      </c>
    </row>
    <row r="228" spans="1:4" x14ac:dyDescent="0.25">
      <c r="A228" t="str">
        <f>T("   520512")</f>
        <v xml:space="preserve">   520512</v>
      </c>
      <c r="B228" t="s">
        <v>53</v>
      </c>
      <c r="C228">
        <v>812740869</v>
      </c>
      <c r="D228">
        <v>320800</v>
      </c>
    </row>
    <row r="229" spans="1:4" x14ac:dyDescent="0.25">
      <c r="A229" t="str">
        <f>T("   720429")</f>
        <v xml:space="preserve">   720429</v>
      </c>
      <c r="B229"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29">
        <v>205750000</v>
      </c>
      <c r="D229">
        <v>4475000</v>
      </c>
    </row>
    <row r="230" spans="1:4" x14ac:dyDescent="0.25">
      <c r="A230" t="str">
        <f>T("   720430")</f>
        <v xml:space="preserve">   720430</v>
      </c>
      <c r="B230"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30">
        <v>16687500</v>
      </c>
      <c r="D230">
        <v>447750</v>
      </c>
    </row>
    <row r="231" spans="1:4" x14ac:dyDescent="0.25">
      <c r="A231" t="str">
        <f>T("   720449")</f>
        <v xml:space="preserve">   720449</v>
      </c>
      <c r="B231" t="s">
        <v>64</v>
      </c>
      <c r="C231">
        <v>1872044500</v>
      </c>
      <c r="D231">
        <v>37767470</v>
      </c>
    </row>
    <row r="232" spans="1:4" x14ac:dyDescent="0.25">
      <c r="A232" t="str">
        <f>T("   721391")</f>
        <v xml:space="preserve">   721391</v>
      </c>
      <c r="B23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232">
        <v>95805662</v>
      </c>
      <c r="D232">
        <v>147524</v>
      </c>
    </row>
    <row r="233" spans="1:4" x14ac:dyDescent="0.25">
      <c r="A233" t="str">
        <f>T("   721420")</f>
        <v xml:space="preserve">   721420</v>
      </c>
      <c r="B23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233">
        <v>52879215</v>
      </c>
      <c r="D233">
        <v>74327</v>
      </c>
    </row>
    <row r="234" spans="1:4" x14ac:dyDescent="0.25">
      <c r="A234" t="str">
        <f>T("   721730")</f>
        <v xml:space="preserve">   721730</v>
      </c>
      <c r="B234"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234">
        <v>25087188</v>
      </c>
      <c r="D234">
        <v>60479</v>
      </c>
    </row>
    <row r="235" spans="1:4" x14ac:dyDescent="0.25">
      <c r="A235" t="str">
        <f>T("   721790")</f>
        <v xml:space="preserve">   721790</v>
      </c>
      <c r="B235"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35">
        <v>16210417</v>
      </c>
      <c r="D235">
        <v>35106</v>
      </c>
    </row>
    <row r="236" spans="1:4" x14ac:dyDescent="0.25">
      <c r="A236" t="str">
        <f>T("   732620")</f>
        <v xml:space="preserve">   732620</v>
      </c>
      <c r="B236" t="str">
        <f>T("   Ouvrages en fil de fer ou d'acier, n.d.a.")</f>
        <v xml:space="preserve">   Ouvrages en fil de fer ou d'acier, n.d.a.</v>
      </c>
      <c r="C236">
        <v>60153185</v>
      </c>
      <c r="D236">
        <v>96913</v>
      </c>
    </row>
    <row r="237" spans="1:4" x14ac:dyDescent="0.25">
      <c r="A237" t="str">
        <f>T("   760200")</f>
        <v xml:space="preserve">   760200</v>
      </c>
      <c r="B237" t="s">
        <v>74</v>
      </c>
      <c r="C237">
        <v>17000000</v>
      </c>
      <c r="D237">
        <v>340000</v>
      </c>
    </row>
    <row r="238" spans="1:4" x14ac:dyDescent="0.25">
      <c r="A238" t="str">
        <f>T("   842959")</f>
        <v xml:space="preserve">   842959</v>
      </c>
      <c r="B23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38">
        <v>405340538</v>
      </c>
      <c r="D238">
        <v>119800</v>
      </c>
    </row>
    <row r="239" spans="1:4" x14ac:dyDescent="0.25">
      <c r="A239" t="str">
        <f>T("   850239")</f>
        <v xml:space="preserve">   850239</v>
      </c>
      <c r="B239" t="str">
        <f>T("   Groupes électrogènes (autres qu'à énergie éolienne et à moteurs à piston)")</f>
        <v xml:space="preserve">   Groupes électrogènes (autres qu'à énergie éolienne et à moteurs à piston)</v>
      </c>
      <c r="C239">
        <v>991599435</v>
      </c>
      <c r="D239">
        <v>142380</v>
      </c>
    </row>
    <row r="240" spans="1:4" x14ac:dyDescent="0.25">
      <c r="A240" t="str">
        <f>T("   851529")</f>
        <v xml:space="preserve">   851529</v>
      </c>
      <c r="B240" t="str">
        <f>T("   MACHINES ET APPAREILS POUR LE SOUDAGE DES MÉTAUX PAR RÉSISTANCE, NON-AUTOMATIQUES")</f>
        <v xml:space="preserve">   MACHINES ET APPAREILS POUR LE SOUDAGE DES MÉTAUX PAR RÉSISTANCE, NON-AUTOMATIQUES</v>
      </c>
      <c r="C240">
        <v>133363728</v>
      </c>
      <c r="D240">
        <v>10640</v>
      </c>
    </row>
    <row r="241" spans="1:4" x14ac:dyDescent="0.25">
      <c r="A241" t="str">
        <f>T("CO")</f>
        <v>CO</v>
      </c>
      <c r="B241" t="str">
        <f>T("Colombie")</f>
        <v>Colombie</v>
      </c>
    </row>
    <row r="242" spans="1:4" x14ac:dyDescent="0.25">
      <c r="A242" t="str">
        <f>T("   ZZ_Total_Produit_SH6")</f>
        <v xml:space="preserve">   ZZ_Total_Produit_SH6</v>
      </c>
      <c r="B242" t="str">
        <f>T("   ZZ_Total_Produit_SH6")</f>
        <v xml:space="preserve">   ZZ_Total_Produit_SH6</v>
      </c>
      <c r="C242">
        <v>19879901</v>
      </c>
      <c r="D242">
        <v>59</v>
      </c>
    </row>
    <row r="243" spans="1:4" x14ac:dyDescent="0.25">
      <c r="A243" t="str">
        <f>T("   120710")</f>
        <v xml:space="preserve">   120710</v>
      </c>
      <c r="B243" t="str">
        <f>T("   NOIX ET AMANDES DE PALMISTES")</f>
        <v xml:space="preserve">   NOIX ET AMANDES DE PALMISTES</v>
      </c>
      <c r="C243">
        <v>19879901</v>
      </c>
      <c r="D243">
        <v>59</v>
      </c>
    </row>
    <row r="244" spans="1:4" x14ac:dyDescent="0.25">
      <c r="A244" t="str">
        <f>T("DE")</f>
        <v>DE</v>
      </c>
      <c r="B244" t="str">
        <f>T("Allemagne")</f>
        <v>Allemagne</v>
      </c>
    </row>
    <row r="245" spans="1:4" x14ac:dyDescent="0.25">
      <c r="A245" t="str">
        <f>T("   ZZ_Total_Produit_SH6")</f>
        <v xml:space="preserve">   ZZ_Total_Produit_SH6</v>
      </c>
      <c r="B245" t="str">
        <f>T("   ZZ_Total_Produit_SH6")</f>
        <v xml:space="preserve">   ZZ_Total_Produit_SH6</v>
      </c>
      <c r="C245">
        <v>1134587205</v>
      </c>
      <c r="D245">
        <v>1844593</v>
      </c>
    </row>
    <row r="246" spans="1:4" x14ac:dyDescent="0.25">
      <c r="A246" t="str">
        <f>T("   080211")</f>
        <v xml:space="preserve">   080211</v>
      </c>
      <c r="B246" t="str">
        <f>T("   Amandes, fraîches ou sèches, en coques")</f>
        <v xml:space="preserve">   Amandes, fraîches ou sèches, en coques</v>
      </c>
      <c r="C246">
        <v>57396500</v>
      </c>
      <c r="D246">
        <v>350000</v>
      </c>
    </row>
    <row r="247" spans="1:4" x14ac:dyDescent="0.25">
      <c r="A247" t="str">
        <f>T("   151790")</f>
        <v xml:space="preserve">   151790</v>
      </c>
      <c r="B247" t="s">
        <v>18</v>
      </c>
      <c r="C247">
        <v>45566052</v>
      </c>
      <c r="D247">
        <v>105620</v>
      </c>
    </row>
    <row r="248" spans="1:4" x14ac:dyDescent="0.25">
      <c r="A248" t="str">
        <f>T("   440200")</f>
        <v xml:space="preserve">   440200</v>
      </c>
      <c r="B248" t="str">
        <f>T("   Charbon de bois - y.c. le charbon de coques ou de noix -, même aggloméré (à l'excl. des fusains et du charbon de bois conditionné comme médicament, mélangé d'encens ou activé)")</f>
        <v xml:space="preserve">   Charbon de bois - y.c. le charbon de coques ou de noix -, même aggloméré (à l'excl. des fusains et du charbon de bois conditionné comme médicament, mélangé d'encens ou activé)</v>
      </c>
      <c r="C248">
        <v>1017000</v>
      </c>
      <c r="D248">
        <v>33900</v>
      </c>
    </row>
    <row r="249" spans="1:4" x14ac:dyDescent="0.25">
      <c r="A249" t="str">
        <f>T("   440500")</f>
        <v xml:space="preserve">   440500</v>
      </c>
      <c r="B249"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49">
        <v>4132530</v>
      </c>
      <c r="D249">
        <v>30000</v>
      </c>
    </row>
    <row r="250" spans="1:4" x14ac:dyDescent="0.25">
      <c r="A250" t="str">
        <f>T("   440729")</f>
        <v xml:space="preserve">   440729</v>
      </c>
      <c r="B250" t="s">
        <v>47</v>
      </c>
      <c r="C250">
        <v>54569978</v>
      </c>
      <c r="D250">
        <v>28320</v>
      </c>
    </row>
    <row r="251" spans="1:4" x14ac:dyDescent="0.25">
      <c r="A251" t="str">
        <f>T("   520100")</f>
        <v xml:space="preserve">   520100</v>
      </c>
      <c r="B251" t="str">
        <f>T("   COTON, NON-CARDÉ NI PEIGNÉ")</f>
        <v xml:space="preserve">   COTON, NON-CARDÉ NI PEIGNÉ</v>
      </c>
      <c r="C251">
        <v>929290464</v>
      </c>
      <c r="D251">
        <v>1245460</v>
      </c>
    </row>
    <row r="252" spans="1:4" x14ac:dyDescent="0.25">
      <c r="A252" t="str">
        <f>T("   620590")</f>
        <v xml:space="preserve">   620590</v>
      </c>
      <c r="B25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52">
        <v>1900000</v>
      </c>
      <c r="D252">
        <v>2600</v>
      </c>
    </row>
    <row r="253" spans="1:4" x14ac:dyDescent="0.25">
      <c r="A253" t="str">
        <f>T("   680430")</f>
        <v xml:space="preserve">   680430</v>
      </c>
      <c r="B253" t="str">
        <f>T("   Pierres à aiguiser ou à polir à la main")</f>
        <v xml:space="preserve">   Pierres à aiguiser ou à polir à la main</v>
      </c>
      <c r="C253">
        <v>525000</v>
      </c>
      <c r="D253">
        <v>11068</v>
      </c>
    </row>
    <row r="254" spans="1:4" x14ac:dyDescent="0.25">
      <c r="A254" t="str">
        <f>T("   732394")</f>
        <v xml:space="preserve">   732394</v>
      </c>
      <c r="B254" t="s">
        <v>72</v>
      </c>
      <c r="C254">
        <v>2000000</v>
      </c>
      <c r="D254">
        <v>2200</v>
      </c>
    </row>
    <row r="255" spans="1:4" x14ac:dyDescent="0.25">
      <c r="A255" t="str">
        <f>T("   841391")</f>
        <v xml:space="preserve">   841391</v>
      </c>
      <c r="B255" t="str">
        <f>T("   Parties de pompes pour liquides, n.d.a.")</f>
        <v xml:space="preserve">   Parties de pompes pour liquides, n.d.a.</v>
      </c>
      <c r="C255">
        <v>1193842</v>
      </c>
      <c r="D255">
        <v>810</v>
      </c>
    </row>
    <row r="256" spans="1:4" x14ac:dyDescent="0.25">
      <c r="A256" t="str">
        <f>T("   843149")</f>
        <v xml:space="preserve">   843149</v>
      </c>
      <c r="B256" t="str">
        <f>T("   Parties de machines et appareils du n° 8426, 8429 ou 8430, n.d.a.")</f>
        <v xml:space="preserve">   Parties de machines et appareils du n° 8426, 8429 ou 8430, n.d.a.</v>
      </c>
      <c r="C256">
        <v>16620059</v>
      </c>
      <c r="D256">
        <v>1815</v>
      </c>
    </row>
    <row r="257" spans="1:4" x14ac:dyDescent="0.25">
      <c r="A257" t="str">
        <f>T("   850680")</f>
        <v xml:space="preserve">   850680</v>
      </c>
      <c r="B257"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57">
        <v>6000000</v>
      </c>
      <c r="D257">
        <v>26000</v>
      </c>
    </row>
    <row r="258" spans="1:4" x14ac:dyDescent="0.25">
      <c r="A258" t="str">
        <f>T("   870323")</f>
        <v xml:space="preserve">   870323</v>
      </c>
      <c r="B258" t="s">
        <v>98</v>
      </c>
      <c r="C258">
        <v>10275780</v>
      </c>
      <c r="D258">
        <v>1600</v>
      </c>
    </row>
    <row r="259" spans="1:4" x14ac:dyDescent="0.25">
      <c r="A259" t="str">
        <f>T("   940350")</f>
        <v xml:space="preserve">   940350</v>
      </c>
      <c r="B259" t="str">
        <f>T("   Meubles pour chambres à coucher, en bois (sauf sièges)")</f>
        <v xml:space="preserve">   Meubles pour chambres à coucher, en bois (sauf sièges)</v>
      </c>
      <c r="C259">
        <v>4100000</v>
      </c>
      <c r="D259">
        <v>5200</v>
      </c>
    </row>
    <row r="260" spans="1:4" x14ac:dyDescent="0.25">
      <c r="A260" t="str">
        <f>T("DJ")</f>
        <v>DJ</v>
      </c>
      <c r="B260" t="str">
        <f>T("Djibouti")</f>
        <v>Djibouti</v>
      </c>
    </row>
    <row r="261" spans="1:4" x14ac:dyDescent="0.25">
      <c r="A261" t="str">
        <f>T("   ZZ_Total_Produit_SH6")</f>
        <v xml:space="preserve">   ZZ_Total_Produit_SH6</v>
      </c>
      <c r="B261" t="str">
        <f>T("   ZZ_Total_Produit_SH6")</f>
        <v xml:space="preserve">   ZZ_Total_Produit_SH6</v>
      </c>
      <c r="C261">
        <v>400000</v>
      </c>
      <c r="D261">
        <v>10000</v>
      </c>
    </row>
    <row r="262" spans="1:4" x14ac:dyDescent="0.25">
      <c r="A262" t="str">
        <f>T("   940380")</f>
        <v xml:space="preserve">   940380</v>
      </c>
      <c r="B262" t="str">
        <f>T("   Meubles en rotin, osier, bambou ou autres matières (sauf métal, bois et matières plastiques)")</f>
        <v xml:space="preserve">   Meubles en rotin, osier, bambou ou autres matières (sauf métal, bois et matières plastiques)</v>
      </c>
      <c r="C262">
        <v>400000</v>
      </c>
      <c r="D262">
        <v>10000</v>
      </c>
    </row>
    <row r="263" spans="1:4" x14ac:dyDescent="0.25">
      <c r="A263" t="str">
        <f>T("DK")</f>
        <v>DK</v>
      </c>
      <c r="B263" t="str">
        <f>T("Danemark")</f>
        <v>Danemark</v>
      </c>
    </row>
    <row r="264" spans="1:4" x14ac:dyDescent="0.25">
      <c r="A264" t="str">
        <f>T("   ZZ_Total_Produit_SH6")</f>
        <v xml:space="preserve">   ZZ_Total_Produit_SH6</v>
      </c>
      <c r="B264" t="str">
        <f>T("   ZZ_Total_Produit_SH6")</f>
        <v xml:space="preserve">   ZZ_Total_Produit_SH6</v>
      </c>
      <c r="C264">
        <v>5434212790</v>
      </c>
      <c r="D264">
        <v>27175500</v>
      </c>
    </row>
    <row r="265" spans="1:4" x14ac:dyDescent="0.25">
      <c r="A265" t="str">
        <f>T("   080211")</f>
        <v xml:space="preserve">   080211</v>
      </c>
      <c r="B265" t="str">
        <f>T("   Amandes, fraîches ou sèches, en coques")</f>
        <v xml:space="preserve">   Amandes, fraîches ou sèches, en coques</v>
      </c>
      <c r="C265">
        <v>5431512790</v>
      </c>
      <c r="D265">
        <v>27170000</v>
      </c>
    </row>
    <row r="266" spans="1:4" x14ac:dyDescent="0.25">
      <c r="A266" t="str">
        <f>T("   620590")</f>
        <v xml:space="preserve">   620590</v>
      </c>
      <c r="B26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66">
        <v>900000</v>
      </c>
      <c r="D266">
        <v>600</v>
      </c>
    </row>
    <row r="267" spans="1:4" x14ac:dyDescent="0.25">
      <c r="A267" t="str">
        <f>T("   732394")</f>
        <v xml:space="preserve">   732394</v>
      </c>
      <c r="B267" t="s">
        <v>72</v>
      </c>
      <c r="C267">
        <v>600000</v>
      </c>
      <c r="D267">
        <v>400</v>
      </c>
    </row>
    <row r="268" spans="1:4" x14ac:dyDescent="0.25">
      <c r="A268" t="str">
        <f>T("   732619")</f>
        <v xml:space="preserve">   732619</v>
      </c>
      <c r="B268"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268">
        <v>1200000</v>
      </c>
      <c r="D268">
        <v>4500</v>
      </c>
    </row>
    <row r="269" spans="1:4" x14ac:dyDescent="0.25">
      <c r="A269" t="str">
        <f>T("DZ")</f>
        <v>DZ</v>
      </c>
      <c r="B269" t="str">
        <f>T("Algérie")</f>
        <v>Algérie</v>
      </c>
    </row>
    <row r="270" spans="1:4" x14ac:dyDescent="0.25">
      <c r="A270" t="str">
        <f>T("   ZZ_Total_Produit_SH6")</f>
        <v xml:space="preserve">   ZZ_Total_Produit_SH6</v>
      </c>
      <c r="B270" t="str">
        <f>T("   ZZ_Total_Produit_SH6")</f>
        <v xml:space="preserve">   ZZ_Total_Produit_SH6</v>
      </c>
      <c r="C270">
        <v>1500000</v>
      </c>
      <c r="D270">
        <v>1700</v>
      </c>
    </row>
    <row r="271" spans="1:4" x14ac:dyDescent="0.25">
      <c r="A271" t="str">
        <f>T("   620590")</f>
        <v xml:space="preserve">   620590</v>
      </c>
      <c r="B27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71">
        <v>500000</v>
      </c>
      <c r="D271">
        <v>600</v>
      </c>
    </row>
    <row r="272" spans="1:4" x14ac:dyDescent="0.25">
      <c r="A272" t="str">
        <f>T("   732394")</f>
        <v xml:space="preserve">   732394</v>
      </c>
      <c r="B272" t="s">
        <v>72</v>
      </c>
      <c r="C272">
        <v>300000</v>
      </c>
      <c r="D272">
        <v>300</v>
      </c>
    </row>
    <row r="273" spans="1:4" x14ac:dyDescent="0.25">
      <c r="A273" t="str">
        <f>T("   940350")</f>
        <v xml:space="preserve">   940350</v>
      </c>
      <c r="B273" t="str">
        <f>T("   Meubles pour chambres à coucher, en bois (sauf sièges)")</f>
        <v xml:space="preserve">   Meubles pour chambres à coucher, en bois (sauf sièges)</v>
      </c>
      <c r="C273">
        <v>700000</v>
      </c>
      <c r="D273">
        <v>800</v>
      </c>
    </row>
    <row r="274" spans="1:4" x14ac:dyDescent="0.25">
      <c r="A274" t="str">
        <f>T("EC")</f>
        <v>EC</v>
      </c>
      <c r="B274" t="str">
        <f>T("Equateur")</f>
        <v>Equateur</v>
      </c>
    </row>
    <row r="275" spans="1:4" x14ac:dyDescent="0.25">
      <c r="A275" t="str">
        <f>T("   ZZ_Total_Produit_SH6")</f>
        <v xml:space="preserve">   ZZ_Total_Produit_SH6</v>
      </c>
      <c r="B275" t="str">
        <f>T("   ZZ_Total_Produit_SH6")</f>
        <v xml:space="preserve">   ZZ_Total_Produit_SH6</v>
      </c>
      <c r="C275">
        <v>60000</v>
      </c>
      <c r="D275">
        <v>254</v>
      </c>
    </row>
    <row r="276" spans="1:4" x14ac:dyDescent="0.25">
      <c r="A276" t="str">
        <f>T("   120710")</f>
        <v xml:space="preserve">   120710</v>
      </c>
      <c r="B276" t="str">
        <f>T("   NOIX ET AMANDES DE PALMISTES")</f>
        <v xml:space="preserve">   NOIX ET AMANDES DE PALMISTES</v>
      </c>
      <c r="C276">
        <v>60000</v>
      </c>
      <c r="D276">
        <v>254</v>
      </c>
    </row>
    <row r="277" spans="1:4" x14ac:dyDescent="0.25">
      <c r="A277" t="str">
        <f>T("EG")</f>
        <v>EG</v>
      </c>
      <c r="B277" t="str">
        <f>T("Egypte")</f>
        <v>Egypte</v>
      </c>
    </row>
    <row r="278" spans="1:4" x14ac:dyDescent="0.25">
      <c r="A278" t="str">
        <f>T("   ZZ_Total_Produit_SH6")</f>
        <v xml:space="preserve">   ZZ_Total_Produit_SH6</v>
      </c>
      <c r="B278" t="str">
        <f>T("   ZZ_Total_Produit_SH6")</f>
        <v xml:space="preserve">   ZZ_Total_Produit_SH6</v>
      </c>
      <c r="C278">
        <v>755198004</v>
      </c>
      <c r="D278">
        <v>980770</v>
      </c>
    </row>
    <row r="279" spans="1:4" x14ac:dyDescent="0.25">
      <c r="A279" t="str">
        <f>T("   520100")</f>
        <v xml:space="preserve">   520100</v>
      </c>
      <c r="B279" t="str">
        <f>T("   COTON, NON-CARDÉ NI PEIGNÉ")</f>
        <v xml:space="preserve">   COTON, NON-CARDÉ NI PEIGNÉ</v>
      </c>
      <c r="C279">
        <v>755198004</v>
      </c>
      <c r="D279">
        <v>980770</v>
      </c>
    </row>
    <row r="280" spans="1:4" x14ac:dyDescent="0.25">
      <c r="A280" t="str">
        <f>T("ES")</f>
        <v>ES</v>
      </c>
      <c r="B280" t="str">
        <f>T("Espagne")</f>
        <v>Espagne</v>
      </c>
    </row>
    <row r="281" spans="1:4" x14ac:dyDescent="0.25">
      <c r="A281" t="str">
        <f>T("   ZZ_Total_Produit_SH6")</f>
        <v xml:space="preserve">   ZZ_Total_Produit_SH6</v>
      </c>
      <c r="B281" t="str">
        <f>T("   ZZ_Total_Produit_SH6")</f>
        <v xml:space="preserve">   ZZ_Total_Produit_SH6</v>
      </c>
      <c r="C281">
        <v>2176705962</v>
      </c>
      <c r="D281">
        <v>6337059</v>
      </c>
    </row>
    <row r="282" spans="1:4" x14ac:dyDescent="0.25">
      <c r="A282" t="str">
        <f>T("   121299")</f>
        <v xml:space="preserve">   121299</v>
      </c>
      <c r="B282"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282">
        <v>47070000</v>
      </c>
      <c r="D282">
        <v>169300</v>
      </c>
    </row>
    <row r="283" spans="1:4" x14ac:dyDescent="0.25">
      <c r="A283" t="str">
        <f>T("   170191")</f>
        <v xml:space="preserve">   170191</v>
      </c>
      <c r="B283" t="str">
        <f>T("   Sucres de canne ou de betterave, à l'état solide, additionnés d'aromatisants ou de colorants")</f>
        <v xml:space="preserve">   Sucres de canne ou de betterave, à l'état solide, additionnés d'aromatisants ou de colorants</v>
      </c>
      <c r="C283">
        <v>2016098165</v>
      </c>
      <c r="D283">
        <v>5483573</v>
      </c>
    </row>
    <row r="284" spans="1:4" x14ac:dyDescent="0.25">
      <c r="A284" t="str">
        <f>T("   520299")</f>
        <v xml:space="preserve">   520299</v>
      </c>
      <c r="B284" t="str">
        <f>T("   Déchets de coton (à l'excl. des déchets de fils et des effilochés)")</f>
        <v xml:space="preserve">   Déchets de coton (à l'excl. des déchets de fils et des effilochés)</v>
      </c>
      <c r="C284">
        <v>79432173</v>
      </c>
      <c r="D284">
        <v>248066</v>
      </c>
    </row>
    <row r="285" spans="1:4" x14ac:dyDescent="0.25">
      <c r="A285" t="str">
        <f>T("   720429")</f>
        <v xml:space="preserve">   720429</v>
      </c>
      <c r="B285"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85">
        <v>750000</v>
      </c>
      <c r="D285">
        <v>15000</v>
      </c>
    </row>
    <row r="286" spans="1:4" x14ac:dyDescent="0.25">
      <c r="A286" t="str">
        <f>T("   720449")</f>
        <v xml:space="preserve">   720449</v>
      </c>
      <c r="B286" t="s">
        <v>64</v>
      </c>
      <c r="C286">
        <v>20250000</v>
      </c>
      <c r="D286">
        <v>405000</v>
      </c>
    </row>
    <row r="287" spans="1:4" x14ac:dyDescent="0.25">
      <c r="A287" t="str">
        <f>T("   870431")</f>
        <v xml:space="preserve">   870431</v>
      </c>
      <c r="B287" t="s">
        <v>105</v>
      </c>
      <c r="C287">
        <v>12925624</v>
      </c>
      <c r="D287">
        <v>16000</v>
      </c>
    </row>
    <row r="288" spans="1:4" x14ac:dyDescent="0.25">
      <c r="A288" t="str">
        <f>T("   871120")</f>
        <v xml:space="preserve">   871120</v>
      </c>
      <c r="B288" t="str">
        <f>T("   Motocycles à moteur à piston alternatif, cylindrée &gt; 50 cm³ mais &lt;= 250 cm³")</f>
        <v xml:space="preserve">   Motocycles à moteur à piston alternatif, cylindrée &gt; 50 cm³ mais &lt;= 250 cm³</v>
      </c>
      <c r="C288">
        <v>180000</v>
      </c>
      <c r="D288">
        <v>120</v>
      </c>
    </row>
    <row r="289" spans="1:4" x14ac:dyDescent="0.25">
      <c r="A289" t="str">
        <f>T("FR")</f>
        <v>FR</v>
      </c>
      <c r="B289" t="str">
        <f>T("France")</f>
        <v>France</v>
      </c>
    </row>
    <row r="290" spans="1:4" x14ac:dyDescent="0.25">
      <c r="A290" t="str">
        <f>T("   ZZ_Total_Produit_SH6")</f>
        <v xml:space="preserve">   ZZ_Total_Produit_SH6</v>
      </c>
      <c r="B290" t="str">
        <f>T("   ZZ_Total_Produit_SH6")</f>
        <v xml:space="preserve">   ZZ_Total_Produit_SH6</v>
      </c>
      <c r="C290">
        <v>1759384016</v>
      </c>
      <c r="D290">
        <v>1128634</v>
      </c>
    </row>
    <row r="291" spans="1:4" x14ac:dyDescent="0.25">
      <c r="A291" t="str">
        <f>T("   040510")</f>
        <v xml:space="preserve">   040510</v>
      </c>
      <c r="B291" t="str">
        <f>T("   Beurre (sauf beurre déshydraté et ghee)")</f>
        <v xml:space="preserve">   Beurre (sauf beurre déshydraté et ghee)</v>
      </c>
      <c r="C291">
        <v>120000</v>
      </c>
      <c r="D291">
        <v>21</v>
      </c>
    </row>
    <row r="292" spans="1:4" x14ac:dyDescent="0.25">
      <c r="A292" t="str">
        <f>T("   080430")</f>
        <v xml:space="preserve">   080430</v>
      </c>
      <c r="B292" t="str">
        <f>T("   Ananas, frais ou secs")</f>
        <v xml:space="preserve">   Ananas, frais ou secs</v>
      </c>
      <c r="C292">
        <v>1199745</v>
      </c>
      <c r="D292">
        <v>1875</v>
      </c>
    </row>
    <row r="293" spans="1:4" x14ac:dyDescent="0.25">
      <c r="A293" t="str">
        <f>T("   091010")</f>
        <v xml:space="preserve">   091010</v>
      </c>
      <c r="B293" t="str">
        <f>T("   Gingembre")</f>
        <v xml:space="preserve">   Gingembre</v>
      </c>
      <c r="C293">
        <v>800280</v>
      </c>
      <c r="D293">
        <v>8720</v>
      </c>
    </row>
    <row r="294" spans="1:4" x14ac:dyDescent="0.25">
      <c r="A294" t="str">
        <f>T("   110620")</f>
        <v xml:space="preserve">   110620</v>
      </c>
      <c r="B294" t="str">
        <f>T("   Farines, semoules et poudres de sagou ou des racines ou tubercules du n° 0714")</f>
        <v xml:space="preserve">   Farines, semoules et poudres de sagou ou des racines ou tubercules du n° 0714</v>
      </c>
      <c r="C294">
        <v>19754236</v>
      </c>
      <c r="D294">
        <v>21121</v>
      </c>
    </row>
    <row r="295" spans="1:4" x14ac:dyDescent="0.25">
      <c r="A295" t="str">
        <f>T("   120799")</f>
        <v xml:space="preserve">   120799</v>
      </c>
      <c r="B295" t="s">
        <v>16</v>
      </c>
      <c r="C295">
        <v>49795315</v>
      </c>
      <c r="D295">
        <v>159815</v>
      </c>
    </row>
    <row r="296" spans="1:4" x14ac:dyDescent="0.25">
      <c r="A296" t="str">
        <f>T("   130120")</f>
        <v xml:space="preserve">   130120</v>
      </c>
      <c r="B296" t="str">
        <f>T("   Gomme arabique")</f>
        <v xml:space="preserve">   Gomme arabique</v>
      </c>
      <c r="C296">
        <v>4700000</v>
      </c>
      <c r="D296">
        <v>22000</v>
      </c>
    </row>
    <row r="297" spans="1:4" x14ac:dyDescent="0.25">
      <c r="A297" t="str">
        <f>T("   151590")</f>
        <v xml:space="preserve">   151590</v>
      </c>
      <c r="B297" t="s">
        <v>17</v>
      </c>
      <c r="C297">
        <v>10339897</v>
      </c>
      <c r="D297">
        <v>4225</v>
      </c>
    </row>
    <row r="298" spans="1:4" x14ac:dyDescent="0.25">
      <c r="A298" t="str">
        <f>T("   251690")</f>
        <v xml:space="preserve">   251690</v>
      </c>
      <c r="B298" t="s">
        <v>26</v>
      </c>
      <c r="C298">
        <v>7651082</v>
      </c>
      <c r="D298">
        <v>55040</v>
      </c>
    </row>
    <row r="299" spans="1:4" x14ac:dyDescent="0.25">
      <c r="A299" t="str">
        <f>T("   380840")</f>
        <v xml:space="preserve">   380840</v>
      </c>
      <c r="B299"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299">
        <v>34044324</v>
      </c>
      <c r="D299">
        <v>60000</v>
      </c>
    </row>
    <row r="300" spans="1:4" x14ac:dyDescent="0.25">
      <c r="A300" t="str">
        <f>T("   392329")</f>
        <v xml:space="preserve">   392329</v>
      </c>
      <c r="B300" t="str">
        <f>T("   Sacs, sachets, pochettes et cornets, en matières plastiques (autres que les polymères de l'éthylène)")</f>
        <v xml:space="preserve">   Sacs, sachets, pochettes et cornets, en matières plastiques (autres que les polymères de l'éthylène)</v>
      </c>
      <c r="C300">
        <v>2096019</v>
      </c>
      <c r="D300">
        <v>588</v>
      </c>
    </row>
    <row r="301" spans="1:4" x14ac:dyDescent="0.25">
      <c r="A301" t="str">
        <f>T("   392330")</f>
        <v xml:space="preserve">   392330</v>
      </c>
      <c r="B301" t="str">
        <f>T("   Bonbonnes, bouteilles, flacons et articles simil. pour le transport ou l'emballage, en matières plastiques")</f>
        <v xml:space="preserve">   Bonbonnes, bouteilles, flacons et articles simil. pour le transport ou l'emballage, en matières plastiques</v>
      </c>
      <c r="C301">
        <v>2000000</v>
      </c>
      <c r="D301">
        <v>1000</v>
      </c>
    </row>
    <row r="302" spans="1:4" x14ac:dyDescent="0.25">
      <c r="A302" t="str">
        <f>T("   490199")</f>
        <v xml:space="preserve">   490199</v>
      </c>
      <c r="B30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02">
        <v>200000</v>
      </c>
      <c r="D302">
        <v>50</v>
      </c>
    </row>
    <row r="303" spans="1:4" x14ac:dyDescent="0.25">
      <c r="A303" t="str">
        <f>T("   490700")</f>
        <v xml:space="preserve">   490700</v>
      </c>
      <c r="B303" t="s">
        <v>52</v>
      </c>
      <c r="C303">
        <v>52700000</v>
      </c>
      <c r="D303">
        <v>25610</v>
      </c>
    </row>
    <row r="304" spans="1:4" x14ac:dyDescent="0.25">
      <c r="A304" t="str">
        <f>T("   520100")</f>
        <v xml:space="preserve">   520100</v>
      </c>
      <c r="B304" t="str">
        <f>T("   COTON, NON-CARDÉ NI PEIGNÉ")</f>
        <v xml:space="preserve">   COTON, NON-CARDÉ NI PEIGNÉ</v>
      </c>
      <c r="C304">
        <v>197235515</v>
      </c>
      <c r="D304">
        <v>229489</v>
      </c>
    </row>
    <row r="305" spans="1:4" x14ac:dyDescent="0.25">
      <c r="A305" t="str">
        <f>T("   610469")</f>
        <v xml:space="preserve">   610469</v>
      </c>
      <c r="B305" t="s">
        <v>54</v>
      </c>
      <c r="C305">
        <v>200000</v>
      </c>
      <c r="D305">
        <v>1900</v>
      </c>
    </row>
    <row r="306" spans="1:4" x14ac:dyDescent="0.25">
      <c r="A306" t="str">
        <f>T("   620329")</f>
        <v xml:space="preserve">   620329</v>
      </c>
      <c r="B30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306">
        <v>3949000</v>
      </c>
      <c r="D306">
        <v>300</v>
      </c>
    </row>
    <row r="307" spans="1:4" x14ac:dyDescent="0.25">
      <c r="A307" t="str">
        <f>T("   620590")</f>
        <v xml:space="preserve">   620590</v>
      </c>
      <c r="B30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07">
        <v>4900000</v>
      </c>
      <c r="D307">
        <v>4700</v>
      </c>
    </row>
    <row r="308" spans="1:4" x14ac:dyDescent="0.25">
      <c r="A308" t="str">
        <f>T("   621020")</f>
        <v xml:space="preserve">   621020</v>
      </c>
      <c r="B308"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308">
        <v>703600</v>
      </c>
      <c r="D308">
        <v>437</v>
      </c>
    </row>
    <row r="309" spans="1:4" x14ac:dyDescent="0.25">
      <c r="A309" t="str">
        <f>T("   621040")</f>
        <v xml:space="preserve">   621040</v>
      </c>
      <c r="B309" t="s">
        <v>55</v>
      </c>
      <c r="C309">
        <v>9193938</v>
      </c>
      <c r="D309">
        <v>2350</v>
      </c>
    </row>
    <row r="310" spans="1:4" x14ac:dyDescent="0.25">
      <c r="A310" t="str">
        <f>T("   621132")</f>
        <v xml:space="preserve">   621132</v>
      </c>
      <c r="B310" t="str">
        <f>T("   Survêtements de sport 'trainings' et autres vêtements n.d.a., de coton, pour hommes ou garçonnets (autres qu'en bonneterie)")</f>
        <v xml:space="preserve">   Survêtements de sport 'trainings' et autres vêtements n.d.a., de coton, pour hommes ou garçonnets (autres qu'en bonneterie)</v>
      </c>
      <c r="C310">
        <v>2000000</v>
      </c>
      <c r="D310">
        <v>500</v>
      </c>
    </row>
    <row r="311" spans="1:4" x14ac:dyDescent="0.25">
      <c r="A311" t="str">
        <f>T("   630900")</f>
        <v xml:space="preserve">   630900</v>
      </c>
      <c r="B311" t="s">
        <v>57</v>
      </c>
      <c r="C311">
        <v>1000000</v>
      </c>
      <c r="D311">
        <v>2000</v>
      </c>
    </row>
    <row r="312" spans="1:4" x14ac:dyDescent="0.25">
      <c r="A312" t="str">
        <f>T("   691200")</f>
        <v xml:space="preserve">   691200</v>
      </c>
      <c r="B312" t="s">
        <v>61</v>
      </c>
      <c r="C312">
        <v>1799000</v>
      </c>
      <c r="D312">
        <v>5000</v>
      </c>
    </row>
    <row r="313" spans="1:4" x14ac:dyDescent="0.25">
      <c r="A313" t="str">
        <f>T("   720430")</f>
        <v xml:space="preserve">   720430</v>
      </c>
      <c r="B31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313">
        <v>500000</v>
      </c>
      <c r="D313">
        <v>22000</v>
      </c>
    </row>
    <row r="314" spans="1:4" x14ac:dyDescent="0.25">
      <c r="A314" t="str">
        <f>T("   730449")</f>
        <v xml:space="preserve">   730449</v>
      </c>
      <c r="B314" t="str">
        <f>T("   TUBES, TUYAUX ET PROFILÉS CREUX, SANS SOUDURE, DE SECTION CIRCULAIRE, EN ACIERS INOXYDABLES, NON-ÉTIRÉS OU LAMINÉS À FROID (AUTRES QUE LES TUBES DES TYPES UTILISÉS POUR LES OLÉODUCS OU LES GAZODUCS OU POUR L'EXTRACTION DU PÉTROLE OU DU GAZ)")</f>
        <v xml:space="preserve">   TUBES, TUYAUX ET PROFILÉS CREUX, SANS SOUDURE, DE SECTION CIRCULAIRE, EN ACIERS INOXYDABLES, NON-ÉTIRÉS OU LAMINÉS À FROID (AUTRES QUE LES TUBES DES TYPES UTILISÉS POUR LES OLÉODUCS OU LES GAZODUCS OU POUR L'EXTRACTION DU PÉTROLE OU DU GAZ)</v>
      </c>
      <c r="C314">
        <v>1777652</v>
      </c>
      <c r="D314">
        <v>4700</v>
      </c>
    </row>
    <row r="315" spans="1:4" x14ac:dyDescent="0.25">
      <c r="A315" t="str">
        <f>T("   731100")</f>
        <v xml:space="preserve">   731100</v>
      </c>
      <c r="B31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315">
        <v>4100000</v>
      </c>
      <c r="D315">
        <v>10719</v>
      </c>
    </row>
    <row r="316" spans="1:4" x14ac:dyDescent="0.25">
      <c r="A316" t="str">
        <f>T("   732394")</f>
        <v xml:space="preserve">   732394</v>
      </c>
      <c r="B316" t="s">
        <v>72</v>
      </c>
      <c r="C316">
        <v>4750000</v>
      </c>
      <c r="D316">
        <v>5170</v>
      </c>
    </row>
    <row r="317" spans="1:4" x14ac:dyDescent="0.25">
      <c r="A317" t="str">
        <f>T("   732399")</f>
        <v xml:space="preserve">   732399</v>
      </c>
      <c r="B317" t="s">
        <v>73</v>
      </c>
      <c r="C317">
        <v>400000</v>
      </c>
      <c r="D317">
        <v>20000</v>
      </c>
    </row>
    <row r="318" spans="1:4" x14ac:dyDescent="0.25">
      <c r="A318" t="str">
        <f>T("   820719")</f>
        <v xml:space="preserve">   820719</v>
      </c>
      <c r="B318"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318">
        <v>17966400</v>
      </c>
      <c r="D318">
        <v>58320</v>
      </c>
    </row>
    <row r="319" spans="1:4" x14ac:dyDescent="0.25">
      <c r="A319" t="str">
        <f>T("   840890")</f>
        <v xml:space="preserve">   840890</v>
      </c>
      <c r="B319" t="s">
        <v>80</v>
      </c>
      <c r="C319">
        <v>1200000</v>
      </c>
      <c r="D319">
        <v>1200</v>
      </c>
    </row>
    <row r="320" spans="1:4" x14ac:dyDescent="0.25">
      <c r="A320" t="str">
        <f>T("   841340")</f>
        <v xml:space="preserve">   841340</v>
      </c>
      <c r="B320" t="str">
        <f>T("   Pompes à béton")</f>
        <v xml:space="preserve">   Pompes à béton</v>
      </c>
      <c r="C320">
        <v>30645300</v>
      </c>
      <c r="D320">
        <v>82952</v>
      </c>
    </row>
    <row r="321" spans="1:4" x14ac:dyDescent="0.25">
      <c r="A321" t="str">
        <f>T("   841382")</f>
        <v xml:space="preserve">   841382</v>
      </c>
      <c r="B321" t="str">
        <f>T("   Elévateurs à liquides (à l'excl. des pompes)")</f>
        <v xml:space="preserve">   Elévateurs à liquides (à l'excl. des pompes)</v>
      </c>
      <c r="C321">
        <v>23859234</v>
      </c>
      <c r="D321">
        <v>4373</v>
      </c>
    </row>
    <row r="322" spans="1:4" x14ac:dyDescent="0.25">
      <c r="A322" t="str">
        <f>T("   842649")</f>
        <v xml:space="preserve">   842649</v>
      </c>
      <c r="B322" t="str">
        <f>T("   Bigues et chariots-grues et appareils autopropulsés (autres que sur pneumatiques et sauf chariots-cavaliers)")</f>
        <v xml:space="preserve">   Bigues et chariots-grues et appareils autopropulsés (autres que sur pneumatiques et sauf chariots-cavaliers)</v>
      </c>
      <c r="C322">
        <v>649963214</v>
      </c>
      <c r="D322">
        <v>100000</v>
      </c>
    </row>
    <row r="323" spans="1:4" x14ac:dyDescent="0.25">
      <c r="A323" t="str">
        <f>T("   843069")</f>
        <v xml:space="preserve">   843069</v>
      </c>
      <c r="B323"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323">
        <v>246654079</v>
      </c>
      <c r="D323">
        <v>12606</v>
      </c>
    </row>
    <row r="324" spans="1:4" x14ac:dyDescent="0.25">
      <c r="A324" t="str">
        <f>T("   843141")</f>
        <v xml:space="preserve">   843141</v>
      </c>
      <c r="B324" t="str">
        <f>T("   Godets, bennes, bennes-preneuses, pelles, grappins et pinces pour machines et appareils du n° 8426, 8429 ou 8430")</f>
        <v xml:space="preserve">   Godets, bennes, bennes-preneuses, pelles, grappins et pinces pour machines et appareils du n° 8426, 8429 ou 8430</v>
      </c>
      <c r="C324">
        <v>8631150</v>
      </c>
      <c r="D324">
        <v>7490</v>
      </c>
    </row>
    <row r="325" spans="1:4" x14ac:dyDescent="0.25">
      <c r="A325" t="str">
        <f>T("   843143")</f>
        <v xml:space="preserve">   843143</v>
      </c>
      <c r="B325" t="str">
        <f>T("   Parties de machines de sondage ou de forage du n° 8430.41 ou 8430.49, n.d.a.")</f>
        <v xml:space="preserve">   Parties de machines de sondage ou de forage du n° 8430.41 ou 8430.49, n.d.a.</v>
      </c>
      <c r="C325">
        <v>15602009</v>
      </c>
      <c r="D325">
        <v>50</v>
      </c>
    </row>
    <row r="326" spans="1:4" x14ac:dyDescent="0.25">
      <c r="A326" t="str">
        <f>T("   843149")</f>
        <v xml:space="preserve">   843149</v>
      </c>
      <c r="B326" t="str">
        <f>T("   Parties de machines et appareils du n° 8426, 8429 ou 8430, n.d.a.")</f>
        <v xml:space="preserve">   Parties de machines et appareils du n° 8426, 8429 ou 8430, n.d.a.</v>
      </c>
      <c r="C326">
        <v>50483869</v>
      </c>
      <c r="D326">
        <v>54470</v>
      </c>
    </row>
    <row r="327" spans="1:4" x14ac:dyDescent="0.25">
      <c r="A327" t="str">
        <f>T("   847439")</f>
        <v xml:space="preserve">   847439</v>
      </c>
      <c r="B327"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327">
        <v>6337305</v>
      </c>
      <c r="D327">
        <v>6768</v>
      </c>
    </row>
    <row r="328" spans="1:4" x14ac:dyDescent="0.25">
      <c r="A328" t="str">
        <f>T("   850211")</f>
        <v xml:space="preserve">   850211</v>
      </c>
      <c r="B328" t="s">
        <v>91</v>
      </c>
      <c r="C328">
        <v>2099072</v>
      </c>
      <c r="D328">
        <v>9000</v>
      </c>
    </row>
    <row r="329" spans="1:4" x14ac:dyDescent="0.25">
      <c r="A329" t="str">
        <f>T("   850220")</f>
        <v xml:space="preserve">   850220</v>
      </c>
      <c r="B329" t="s">
        <v>93</v>
      </c>
      <c r="C329">
        <v>17285201</v>
      </c>
      <c r="D329">
        <v>3860</v>
      </c>
    </row>
    <row r="330" spans="1:4" x14ac:dyDescent="0.25">
      <c r="A330" t="str">
        <f>T("   870322")</f>
        <v xml:space="preserve">   870322</v>
      </c>
      <c r="B330" t="s">
        <v>97</v>
      </c>
      <c r="C330">
        <v>13801607</v>
      </c>
      <c r="D330">
        <v>7360</v>
      </c>
    </row>
    <row r="331" spans="1:4" x14ac:dyDescent="0.25">
      <c r="A331" t="str">
        <f>T("   870323")</f>
        <v xml:space="preserve">   870323</v>
      </c>
      <c r="B331" t="s">
        <v>98</v>
      </c>
      <c r="C331">
        <v>12647150</v>
      </c>
      <c r="D331">
        <v>10175</v>
      </c>
    </row>
    <row r="332" spans="1:4" x14ac:dyDescent="0.25">
      <c r="A332" t="str">
        <f>T("   870324")</f>
        <v xml:space="preserve">   870324</v>
      </c>
      <c r="B332" t="s">
        <v>99</v>
      </c>
      <c r="C332">
        <v>62208624</v>
      </c>
      <c r="D332">
        <v>2000</v>
      </c>
    </row>
    <row r="333" spans="1:4" x14ac:dyDescent="0.25">
      <c r="A333" t="str">
        <f>T("   870333")</f>
        <v xml:space="preserve">   870333</v>
      </c>
      <c r="B333" t="s">
        <v>101</v>
      </c>
      <c r="C333">
        <v>45167664</v>
      </c>
      <c r="D333">
        <v>2110</v>
      </c>
    </row>
    <row r="334" spans="1:4" x14ac:dyDescent="0.25">
      <c r="A334" t="str">
        <f>T("   871120")</f>
        <v xml:space="preserve">   871120</v>
      </c>
      <c r="B334" t="str">
        <f>T("   Motocycles à moteur à piston alternatif, cylindrée &gt; 50 cm³ mais &lt;= 250 cm³")</f>
        <v xml:space="preserve">   Motocycles à moteur à piston alternatif, cylindrée &gt; 50 cm³ mais &lt;= 250 cm³</v>
      </c>
      <c r="C334">
        <v>11626424</v>
      </c>
      <c r="D334">
        <v>760</v>
      </c>
    </row>
    <row r="335" spans="1:4" x14ac:dyDescent="0.25">
      <c r="A335" t="str">
        <f>T("   871150")</f>
        <v xml:space="preserve">   871150</v>
      </c>
      <c r="B335" t="str">
        <f>T("   Motocycles à moteur à piston alternatif, cylindrée &gt; 800 cm³")</f>
        <v xml:space="preserve">   Motocycles à moteur à piston alternatif, cylindrée &gt; 800 cm³</v>
      </c>
      <c r="C335">
        <v>514419</v>
      </c>
      <c r="D335">
        <v>600</v>
      </c>
    </row>
    <row r="336" spans="1:4" x14ac:dyDescent="0.25">
      <c r="A336" t="str">
        <f>T("   871190")</f>
        <v xml:space="preserve">   871190</v>
      </c>
      <c r="B336" t="str">
        <f>T("   Side-cars")</f>
        <v xml:space="preserve">   Side-cars</v>
      </c>
      <c r="C336">
        <v>530000</v>
      </c>
      <c r="D336">
        <v>800</v>
      </c>
    </row>
    <row r="337" spans="1:4" x14ac:dyDescent="0.25">
      <c r="A337" t="str">
        <f>T("   880220")</f>
        <v xml:space="preserve">   880220</v>
      </c>
      <c r="B337" t="str">
        <f>T("   Avions et autres véhicules aériens, conçus pour la propulsion à moteur, sauf hélicoptères et dirigeables, d'un poids à vide &lt;= 2.000 kg")</f>
        <v xml:space="preserve">   Avions et autres véhicules aériens, conçus pour la propulsion à moteur, sauf hélicoptères et dirigeables, d'un poids à vide &lt;= 2.000 kg</v>
      </c>
      <c r="C337">
        <v>33389779</v>
      </c>
      <c r="D337">
        <v>280</v>
      </c>
    </row>
    <row r="338" spans="1:4" x14ac:dyDescent="0.25">
      <c r="A338" t="str">
        <f>T("   940180")</f>
        <v xml:space="preserve">   940180</v>
      </c>
      <c r="B338" t="str">
        <f>T("   Sièges, n.d.a.")</f>
        <v xml:space="preserve">   Sièges, n.d.a.</v>
      </c>
      <c r="C338">
        <v>1553313</v>
      </c>
      <c r="D338">
        <v>5000</v>
      </c>
    </row>
    <row r="339" spans="1:4" x14ac:dyDescent="0.25">
      <c r="A339" t="str">
        <f>T("   940350")</f>
        <v xml:space="preserve">   940350</v>
      </c>
      <c r="B339" t="str">
        <f>T("   Meubles pour chambres à coucher, en bois (sauf sièges)")</f>
        <v xml:space="preserve">   Meubles pour chambres à coucher, en bois (sauf sièges)</v>
      </c>
      <c r="C339">
        <v>53208600</v>
      </c>
      <c r="D339">
        <v>36650</v>
      </c>
    </row>
    <row r="340" spans="1:4" x14ac:dyDescent="0.25">
      <c r="A340" t="str">
        <f>T("   940360")</f>
        <v xml:space="preserve">   940360</v>
      </c>
      <c r="B340" t="str">
        <f>T("   Meubles en bois (autres que pour bureaux, cuisines ou chambres à coucher et autres que sièges)")</f>
        <v xml:space="preserve">   Meubles en bois (autres que pour bureaux, cuisines ou chambres à coucher et autres que sièges)</v>
      </c>
      <c r="C340">
        <v>35200000</v>
      </c>
      <c r="D340">
        <v>32380</v>
      </c>
    </row>
    <row r="341" spans="1:4" x14ac:dyDescent="0.25">
      <c r="A341" t="str">
        <f>T("   940380")</f>
        <v xml:space="preserve">   940380</v>
      </c>
      <c r="B341" t="str">
        <f>T("   Meubles en rotin, osier, bambou ou autres matières (sauf métal, bois et matières plastiques)")</f>
        <v xml:space="preserve">   Meubles en rotin, osier, bambou ou autres matières (sauf métal, bois et matières plastiques)</v>
      </c>
      <c r="C341">
        <v>800000</v>
      </c>
      <c r="D341">
        <v>20000</v>
      </c>
    </row>
    <row r="342" spans="1:4" x14ac:dyDescent="0.25">
      <c r="A342" t="str">
        <f>T("   950299")</f>
        <v xml:space="preserve">   950299</v>
      </c>
      <c r="B342" t="str">
        <f>T("   Parties et accessoires pour poupées représentant uniquement l'être humain, n.d.a.")</f>
        <v xml:space="preserve">   Parties et accessoires pour poupées représentant uniquement l'être humain, n.d.a.</v>
      </c>
      <c r="C342">
        <v>100000</v>
      </c>
      <c r="D342">
        <v>100</v>
      </c>
    </row>
    <row r="343" spans="1:4" x14ac:dyDescent="0.25">
      <c r="A343" t="str">
        <f>T("GA")</f>
        <v>GA</v>
      </c>
      <c r="B343" t="str">
        <f>T("Gabon")</f>
        <v>Gabon</v>
      </c>
    </row>
    <row r="344" spans="1:4" x14ac:dyDescent="0.25">
      <c r="A344" t="str">
        <f>T("   ZZ_Total_Produit_SH6")</f>
        <v xml:space="preserve">   ZZ_Total_Produit_SH6</v>
      </c>
      <c r="B344" t="str">
        <f>T("   ZZ_Total_Produit_SH6")</f>
        <v xml:space="preserve">   ZZ_Total_Produit_SH6</v>
      </c>
      <c r="C344">
        <v>1127223726</v>
      </c>
      <c r="D344">
        <v>2246177.12</v>
      </c>
    </row>
    <row r="345" spans="1:4" x14ac:dyDescent="0.25">
      <c r="A345" t="str">
        <f>T("   071339")</f>
        <v xml:space="preserve">   071339</v>
      </c>
      <c r="B345"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345">
        <v>1020000</v>
      </c>
      <c r="D345">
        <v>7650</v>
      </c>
    </row>
    <row r="346" spans="1:4" x14ac:dyDescent="0.25">
      <c r="A346" t="str">
        <f>T("   071490")</f>
        <v xml:space="preserve">   071490</v>
      </c>
      <c r="B346" t="s">
        <v>14</v>
      </c>
      <c r="C346">
        <v>10805000</v>
      </c>
      <c r="D346">
        <v>151500</v>
      </c>
    </row>
    <row r="347" spans="1:4" x14ac:dyDescent="0.25">
      <c r="A347" t="str">
        <f>T("   080410")</f>
        <v xml:space="preserve">   080410</v>
      </c>
      <c r="B347" t="str">
        <f>T("   Dattes, fraîches ou sèches")</f>
        <v xml:space="preserve">   Dattes, fraîches ou sèches</v>
      </c>
      <c r="C347">
        <v>1450000</v>
      </c>
      <c r="D347">
        <v>12000</v>
      </c>
    </row>
    <row r="348" spans="1:4" x14ac:dyDescent="0.25">
      <c r="A348" t="str">
        <f>T("   100590")</f>
        <v xml:space="preserve">   100590</v>
      </c>
      <c r="B348" t="str">
        <f>T("   Maïs (autre que de semence)")</f>
        <v xml:space="preserve">   Maïs (autre que de semence)</v>
      </c>
      <c r="C348">
        <v>1380000</v>
      </c>
      <c r="D348">
        <v>14000</v>
      </c>
    </row>
    <row r="349" spans="1:4" x14ac:dyDescent="0.25">
      <c r="A349" t="str">
        <f>T("   100610")</f>
        <v xml:space="preserve">   100610</v>
      </c>
      <c r="B349" t="str">
        <f>T("   Riz en paille [riz paddy]")</f>
        <v xml:space="preserve">   Riz en paille [riz paddy]</v>
      </c>
      <c r="C349">
        <v>1600000</v>
      </c>
      <c r="D349">
        <v>300</v>
      </c>
    </row>
    <row r="350" spans="1:4" x14ac:dyDescent="0.25">
      <c r="A350" t="str">
        <f>T("   110290")</f>
        <v xml:space="preserve">   110290</v>
      </c>
      <c r="B350" t="str">
        <f>T("   FARINES DE CÉRÉALES (À L'EXCL. DES FARINES DE FROMENT [BLÉ], DE MÉTEIL, DE SEIGLE ET DE MAÏS)")</f>
        <v xml:space="preserve">   FARINES DE CÉRÉALES (À L'EXCL. DES FARINES DE FROMENT [BLÉ], DE MÉTEIL, DE SEIGLE ET DE MAÏS)</v>
      </c>
      <c r="C350">
        <v>850000</v>
      </c>
      <c r="D350">
        <v>7500</v>
      </c>
    </row>
    <row r="351" spans="1:4" x14ac:dyDescent="0.25">
      <c r="A351" t="str">
        <f>T("   110620")</f>
        <v xml:space="preserve">   110620</v>
      </c>
      <c r="B351" t="str">
        <f>T("   Farines, semoules et poudres de sagou ou des racines ou tubercules du n° 0714")</f>
        <v xml:space="preserve">   Farines, semoules et poudres de sagou ou des racines ou tubercules du n° 0714</v>
      </c>
      <c r="C351">
        <v>15400000</v>
      </c>
      <c r="D351">
        <v>141775</v>
      </c>
    </row>
    <row r="352" spans="1:4" x14ac:dyDescent="0.25">
      <c r="A352" t="str">
        <f>T("   200600")</f>
        <v xml:space="preserve">   200600</v>
      </c>
      <c r="B352" t="str">
        <f>T("   Légumes, fruits, écorces de fruits et autres parties de plantes, confits au sucre [égouttés, glacés ou cristallisés]")</f>
        <v xml:space="preserve">   Légumes, fruits, écorces de fruits et autres parties de plantes, confits au sucre [égouttés, glacés ou cristallisés]</v>
      </c>
      <c r="C352">
        <v>300000</v>
      </c>
      <c r="D352">
        <v>3700</v>
      </c>
    </row>
    <row r="353" spans="1:4" x14ac:dyDescent="0.25">
      <c r="A353" t="str">
        <f>T("   220600")</f>
        <v xml:space="preserve">   220600</v>
      </c>
      <c r="B353" t="s">
        <v>21</v>
      </c>
      <c r="C353">
        <v>1450000</v>
      </c>
      <c r="D353">
        <v>19800</v>
      </c>
    </row>
    <row r="354" spans="1:4" x14ac:dyDescent="0.25">
      <c r="A354" t="str">
        <f>T("   220720")</f>
        <v xml:space="preserve">   220720</v>
      </c>
      <c r="B354" t="str">
        <f>T("   Alcool éthylique et eaux-de-vie dénaturés de tous titres")</f>
        <v xml:space="preserve">   Alcool éthylique et eaux-de-vie dénaturés de tous titres</v>
      </c>
      <c r="C354">
        <v>2160000</v>
      </c>
      <c r="D354">
        <v>4800</v>
      </c>
    </row>
    <row r="355" spans="1:4" x14ac:dyDescent="0.25">
      <c r="A355" t="str">
        <f>T("   220890")</f>
        <v xml:space="preserve">   220890</v>
      </c>
      <c r="B355" t="s">
        <v>22</v>
      </c>
      <c r="C355">
        <v>150000</v>
      </c>
      <c r="D355">
        <v>6400</v>
      </c>
    </row>
    <row r="356" spans="1:4" x14ac:dyDescent="0.25">
      <c r="A356" t="str">
        <f>T("   230240")</f>
        <v xml:space="preserve">   230240</v>
      </c>
      <c r="B356"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356">
        <v>950000</v>
      </c>
      <c r="D356">
        <v>13500</v>
      </c>
    </row>
    <row r="357" spans="1:4" x14ac:dyDescent="0.25">
      <c r="A357" t="str">
        <f>T("   230400")</f>
        <v xml:space="preserve">   230400</v>
      </c>
      <c r="B357"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357">
        <v>132196413</v>
      </c>
      <c r="D357">
        <v>620096</v>
      </c>
    </row>
    <row r="358" spans="1:4" x14ac:dyDescent="0.25">
      <c r="A358" t="str">
        <f>T("   271320")</f>
        <v xml:space="preserve">   271320</v>
      </c>
      <c r="B358" t="str">
        <f>T("   Bitume de pétrole")</f>
        <v xml:space="preserve">   Bitume de pétrole</v>
      </c>
      <c r="C358">
        <v>87829600</v>
      </c>
      <c r="D358">
        <v>174528</v>
      </c>
    </row>
    <row r="359" spans="1:4" x14ac:dyDescent="0.25">
      <c r="A359" t="str">
        <f>T("   271390")</f>
        <v xml:space="preserve">   271390</v>
      </c>
      <c r="B359" t="str">
        <f>T("   Résidus des huiles de pétrole ou de minéraux bitumineux (à l'excl. du coke de pétrole et du bitume de pétrole)")</f>
        <v xml:space="preserve">   Résidus des huiles de pétrole ou de minéraux bitumineux (à l'excl. du coke de pétrole et du bitume de pétrole)</v>
      </c>
      <c r="C359">
        <v>1320000</v>
      </c>
      <c r="D359">
        <v>11000</v>
      </c>
    </row>
    <row r="360" spans="1:4" x14ac:dyDescent="0.25">
      <c r="A360" t="str">
        <f>T("   294200")</f>
        <v xml:space="preserve">   294200</v>
      </c>
      <c r="B360" t="str">
        <f>T("   Composés organiques de constitution chimique définie présentés isolément, n.d.a.")</f>
        <v xml:space="preserve">   Composés organiques de constitution chimique définie présentés isolément, n.d.a.</v>
      </c>
      <c r="C360">
        <v>1380000</v>
      </c>
      <c r="D360">
        <v>400</v>
      </c>
    </row>
    <row r="361" spans="1:4" x14ac:dyDescent="0.25">
      <c r="A361" t="str">
        <f>T("   300390")</f>
        <v xml:space="preserve">   300390</v>
      </c>
      <c r="B361" t="s">
        <v>27</v>
      </c>
      <c r="C361">
        <v>100000</v>
      </c>
      <c r="D361">
        <v>1000</v>
      </c>
    </row>
    <row r="362" spans="1:4" x14ac:dyDescent="0.25">
      <c r="A362" t="str">
        <f>T("   330499")</f>
        <v xml:space="preserve">   330499</v>
      </c>
      <c r="B362" t="s">
        <v>33</v>
      </c>
      <c r="C362">
        <v>895000</v>
      </c>
      <c r="D362">
        <v>4600</v>
      </c>
    </row>
    <row r="363" spans="1:4" x14ac:dyDescent="0.25">
      <c r="A363" t="str">
        <f>T("   392490")</f>
        <v xml:space="preserve">   392490</v>
      </c>
      <c r="B363" t="s">
        <v>37</v>
      </c>
      <c r="C363">
        <v>1215000</v>
      </c>
      <c r="D363">
        <v>20000</v>
      </c>
    </row>
    <row r="364" spans="1:4" x14ac:dyDescent="0.25">
      <c r="A364" t="str">
        <f>T("   392690")</f>
        <v xml:space="preserve">   392690</v>
      </c>
      <c r="B364" t="str">
        <f>T("   Ouvrages en matières plastiques et ouvrages en autres matières du n° 3901 à 3914, n.d.a.")</f>
        <v xml:space="preserve">   Ouvrages en matières plastiques et ouvrages en autres matières du n° 3901 à 3914, n.d.a.</v>
      </c>
      <c r="C364">
        <v>470000</v>
      </c>
      <c r="D364">
        <v>1000</v>
      </c>
    </row>
    <row r="365" spans="1:4" x14ac:dyDescent="0.25">
      <c r="A365" t="str">
        <f>T("   401220")</f>
        <v xml:space="preserve">   401220</v>
      </c>
      <c r="B365" t="str">
        <f>T("   Pneumatiques usagés, en caoutchouc")</f>
        <v xml:space="preserve">   Pneumatiques usagés, en caoutchouc</v>
      </c>
      <c r="C365">
        <v>400000</v>
      </c>
      <c r="D365">
        <v>1000</v>
      </c>
    </row>
    <row r="366" spans="1:4" x14ac:dyDescent="0.25">
      <c r="A366" t="str">
        <f>T("   420219")</f>
        <v xml:space="preserve">   420219</v>
      </c>
      <c r="B366" t="s">
        <v>38</v>
      </c>
      <c r="C366">
        <v>6000000</v>
      </c>
      <c r="D366">
        <v>57000</v>
      </c>
    </row>
    <row r="367" spans="1:4" x14ac:dyDescent="0.25">
      <c r="A367" t="str">
        <f>T("   620329")</f>
        <v xml:space="preserve">   620329</v>
      </c>
      <c r="B367"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367">
        <v>10004702</v>
      </c>
      <c r="D367">
        <v>3100</v>
      </c>
    </row>
    <row r="368" spans="1:4" x14ac:dyDescent="0.25">
      <c r="A368" t="str">
        <f>T("   620590")</f>
        <v xml:space="preserve">   620590</v>
      </c>
      <c r="B36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68">
        <v>1000000</v>
      </c>
      <c r="D368">
        <v>1100</v>
      </c>
    </row>
    <row r="369" spans="1:4" x14ac:dyDescent="0.25">
      <c r="A369" t="str">
        <f>T("   640419")</f>
        <v xml:space="preserve">   640419</v>
      </c>
      <c r="B369" t="s">
        <v>58</v>
      </c>
      <c r="C369">
        <v>700000</v>
      </c>
      <c r="D369">
        <v>2000</v>
      </c>
    </row>
    <row r="370" spans="1:4" x14ac:dyDescent="0.25">
      <c r="A370" t="str">
        <f>T("   680229")</f>
        <v xml:space="preserve">   680229</v>
      </c>
      <c r="B370" t="s">
        <v>60</v>
      </c>
      <c r="C370">
        <v>1900000</v>
      </c>
      <c r="D370">
        <v>48000</v>
      </c>
    </row>
    <row r="371" spans="1:4" x14ac:dyDescent="0.25">
      <c r="A371" t="str">
        <f>T("   710490")</f>
        <v xml:space="preserve">   710490</v>
      </c>
      <c r="B371" t="s">
        <v>63</v>
      </c>
      <c r="C371">
        <v>100000</v>
      </c>
      <c r="D371">
        <v>180</v>
      </c>
    </row>
    <row r="372" spans="1:4" x14ac:dyDescent="0.25">
      <c r="A372" t="str">
        <f>T("   730840")</f>
        <v xml:space="preserve">   730840</v>
      </c>
      <c r="B372"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372">
        <v>14675000</v>
      </c>
      <c r="D372">
        <v>5718</v>
      </c>
    </row>
    <row r="373" spans="1:4" x14ac:dyDescent="0.25">
      <c r="A373" t="str">
        <f>T("   730890")</f>
        <v xml:space="preserve">   730890</v>
      </c>
      <c r="B373" t="s">
        <v>67</v>
      </c>
      <c r="C373">
        <v>800000</v>
      </c>
      <c r="D373">
        <v>2000</v>
      </c>
    </row>
    <row r="374" spans="1:4" x14ac:dyDescent="0.25">
      <c r="A374" t="str">
        <f>T("   730900")</f>
        <v xml:space="preserve">   730900</v>
      </c>
      <c r="B374" t="s">
        <v>68</v>
      </c>
      <c r="C374">
        <v>320000</v>
      </c>
      <c r="D374">
        <v>6000</v>
      </c>
    </row>
    <row r="375" spans="1:4" x14ac:dyDescent="0.25">
      <c r="A375" t="str">
        <f>T("   732394")</f>
        <v xml:space="preserve">   732394</v>
      </c>
      <c r="B375" t="s">
        <v>72</v>
      </c>
      <c r="C375">
        <v>1100000</v>
      </c>
      <c r="D375">
        <v>1200</v>
      </c>
    </row>
    <row r="376" spans="1:4" x14ac:dyDescent="0.25">
      <c r="A376" t="str">
        <f>T("   732599")</f>
        <v xml:space="preserve">   732599</v>
      </c>
      <c r="B376"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376">
        <v>600000</v>
      </c>
      <c r="D376">
        <v>2000</v>
      </c>
    </row>
    <row r="377" spans="1:4" x14ac:dyDescent="0.25">
      <c r="A377" t="str">
        <f>T("   732690")</f>
        <v xml:space="preserve">   732690</v>
      </c>
      <c r="B37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77">
        <v>14822007</v>
      </c>
      <c r="D377">
        <v>14000</v>
      </c>
    </row>
    <row r="378" spans="1:4" x14ac:dyDescent="0.25">
      <c r="A378" t="str">
        <f>T("   760820")</f>
        <v xml:space="preserve">   760820</v>
      </c>
      <c r="B378" t="str">
        <f>T("   Tubes et tuyaux en alliages d'aluminium (sauf profilés creux)")</f>
        <v xml:space="preserve">   Tubes et tuyaux en alliages d'aluminium (sauf profilés creux)</v>
      </c>
      <c r="C378">
        <v>1850000</v>
      </c>
      <c r="D378">
        <v>180</v>
      </c>
    </row>
    <row r="379" spans="1:4" x14ac:dyDescent="0.25">
      <c r="A379" t="str">
        <f>T("   820559")</f>
        <v xml:space="preserve">   820559</v>
      </c>
      <c r="B379" t="str">
        <f>T("   Outils à main, y.c. -les diamants de vitrier-, en métaux communs, n.d.a.")</f>
        <v xml:space="preserve">   Outils à main, y.c. -les diamants de vitrier-, en métaux communs, n.d.a.</v>
      </c>
      <c r="C379">
        <v>100000</v>
      </c>
      <c r="D379">
        <v>1000</v>
      </c>
    </row>
    <row r="380" spans="1:4" x14ac:dyDescent="0.25">
      <c r="A380" t="str">
        <f>T("   841391")</f>
        <v xml:space="preserve">   841391</v>
      </c>
      <c r="B380" t="str">
        <f>T("   Parties de pompes pour liquides, n.d.a.")</f>
        <v xml:space="preserve">   Parties de pompes pour liquides, n.d.a.</v>
      </c>
      <c r="C380">
        <v>200000</v>
      </c>
      <c r="D380">
        <v>4000</v>
      </c>
    </row>
    <row r="381" spans="1:4" x14ac:dyDescent="0.25">
      <c r="A381" t="str">
        <f>T("   841440")</f>
        <v xml:space="preserve">   841440</v>
      </c>
      <c r="B381" t="str">
        <f>T("   Compresseurs d'air montés sur châssis à roues et remorquables")</f>
        <v xml:space="preserve">   Compresseurs d'air montés sur châssis à roues et remorquables</v>
      </c>
      <c r="C381">
        <v>1237000</v>
      </c>
      <c r="D381">
        <v>2000</v>
      </c>
    </row>
    <row r="382" spans="1:4" x14ac:dyDescent="0.25">
      <c r="A382" t="str">
        <f>T("   842911")</f>
        <v xml:space="preserve">   842911</v>
      </c>
      <c r="B382" t="str">
        <f>T("   Bouteurs 'bulldozers' et bouteurs biais 'angledozers', à chenilles")</f>
        <v xml:space="preserve">   Bouteurs 'bulldozers' et bouteurs biais 'angledozers', à chenilles</v>
      </c>
      <c r="C382">
        <v>270000000</v>
      </c>
      <c r="D382">
        <v>64000</v>
      </c>
    </row>
    <row r="383" spans="1:4" x14ac:dyDescent="0.25">
      <c r="A383" t="str">
        <f>T("   842920")</f>
        <v xml:space="preserve">   842920</v>
      </c>
      <c r="B383" t="str">
        <f>T("   Niveleuses autopropulsées")</f>
        <v xml:space="preserve">   Niveleuses autopropulsées</v>
      </c>
      <c r="C383">
        <v>105000000</v>
      </c>
      <c r="D383">
        <v>31401</v>
      </c>
    </row>
    <row r="384" spans="1:4" x14ac:dyDescent="0.25">
      <c r="A384" t="str">
        <f>T("   842940")</f>
        <v xml:space="preserve">   842940</v>
      </c>
      <c r="B384" t="str">
        <f>T("   Rouleaux compresseurs et autres compacteuses, autopropulsés")</f>
        <v xml:space="preserve">   Rouleaux compresseurs et autres compacteuses, autopropulsés</v>
      </c>
      <c r="C384">
        <v>35000000</v>
      </c>
      <c r="D384">
        <v>2000</v>
      </c>
    </row>
    <row r="385" spans="1:4" x14ac:dyDescent="0.25">
      <c r="A385" t="str">
        <f>T("   842951")</f>
        <v xml:space="preserve">   842951</v>
      </c>
      <c r="B385" t="str">
        <f>T("   Chargeuses et chargeuses-pelleteuses, à chargement frontal, autopropulsées")</f>
        <v xml:space="preserve">   Chargeuses et chargeuses-pelleteuses, à chargement frontal, autopropulsées</v>
      </c>
      <c r="C385">
        <v>95000000</v>
      </c>
      <c r="D385">
        <v>40342</v>
      </c>
    </row>
    <row r="386" spans="1:4" x14ac:dyDescent="0.25">
      <c r="A386" t="str">
        <f>T("   842959")</f>
        <v xml:space="preserve">   842959</v>
      </c>
      <c r="B386"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386">
        <v>28686880</v>
      </c>
      <c r="D386">
        <v>178502</v>
      </c>
    </row>
    <row r="387" spans="1:4" x14ac:dyDescent="0.25">
      <c r="A387" t="str">
        <f>T("   843069")</f>
        <v xml:space="preserve">   843069</v>
      </c>
      <c r="B38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387">
        <v>9400000</v>
      </c>
      <c r="D387">
        <v>76488</v>
      </c>
    </row>
    <row r="388" spans="1:4" x14ac:dyDescent="0.25">
      <c r="A388" t="str">
        <f>T("   843139")</f>
        <v xml:space="preserve">   843139</v>
      </c>
      <c r="B388" t="str">
        <f>T("   Parties de machines et appareils du n° 8428, n.d.a.")</f>
        <v xml:space="preserve">   Parties de machines et appareils du n° 8428, n.d.a.</v>
      </c>
      <c r="C388">
        <v>8054960</v>
      </c>
      <c r="D388">
        <v>26212</v>
      </c>
    </row>
    <row r="389" spans="1:4" x14ac:dyDescent="0.25">
      <c r="A389" t="str">
        <f>T("   843780")</f>
        <v xml:space="preserve">   843780</v>
      </c>
      <c r="B389" t="s">
        <v>83</v>
      </c>
      <c r="C389">
        <v>460000</v>
      </c>
      <c r="D389">
        <v>120</v>
      </c>
    </row>
    <row r="390" spans="1:4" x14ac:dyDescent="0.25">
      <c r="A390" t="str">
        <f>T("   846190")</f>
        <v xml:space="preserve">   846190</v>
      </c>
      <c r="B390" t="str">
        <f>T("   Machines à raboter et autres machines-outils travaillant par enlèvement de métal, n.d.a.")</f>
        <v xml:space="preserve">   Machines à raboter et autres machines-outils travaillant par enlèvement de métal, n.d.a.</v>
      </c>
      <c r="C390">
        <v>4000000</v>
      </c>
      <c r="D390">
        <v>13780</v>
      </c>
    </row>
    <row r="391" spans="1:4" x14ac:dyDescent="0.25">
      <c r="A391" t="str">
        <f>T("   847431")</f>
        <v xml:space="preserve">   847431</v>
      </c>
      <c r="B39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391">
        <v>1000000</v>
      </c>
      <c r="D391">
        <v>16800</v>
      </c>
    </row>
    <row r="392" spans="1:4" x14ac:dyDescent="0.25">
      <c r="A392" t="str">
        <f>T("   850212")</f>
        <v xml:space="preserve">   850212</v>
      </c>
      <c r="B392"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92">
        <v>5000000</v>
      </c>
      <c r="D392">
        <v>1000</v>
      </c>
    </row>
    <row r="393" spans="1:4" x14ac:dyDescent="0.25">
      <c r="A393" t="str">
        <f>T("   850213")</f>
        <v xml:space="preserve">   850213</v>
      </c>
      <c r="B393" t="s">
        <v>92</v>
      </c>
      <c r="C393">
        <v>200000</v>
      </c>
      <c r="D393">
        <v>6000</v>
      </c>
    </row>
    <row r="394" spans="1:4" x14ac:dyDescent="0.25">
      <c r="A394" t="str">
        <f>T("   850239")</f>
        <v xml:space="preserve">   850239</v>
      </c>
      <c r="B394" t="str">
        <f>T("   Groupes électrogènes (autres qu'à énergie éolienne et à moteurs à piston)")</f>
        <v xml:space="preserve">   Groupes électrogènes (autres qu'à énergie éolienne et à moteurs à piston)</v>
      </c>
      <c r="C394">
        <v>15000000</v>
      </c>
      <c r="D394">
        <v>5000</v>
      </c>
    </row>
    <row r="395" spans="1:4" x14ac:dyDescent="0.25">
      <c r="A395" t="str">
        <f>T("   853669")</f>
        <v xml:space="preserve">   853669</v>
      </c>
      <c r="B395" t="str">
        <f>T("   Fiches et prises de courant, pour une tension &lt;= 1.000 V (sauf douilles pour lampes)")</f>
        <v xml:space="preserve">   Fiches et prises de courant, pour une tension &lt;= 1.000 V (sauf douilles pour lampes)</v>
      </c>
      <c r="C395">
        <v>1557000</v>
      </c>
      <c r="D395">
        <v>2440</v>
      </c>
    </row>
    <row r="396" spans="1:4" x14ac:dyDescent="0.25">
      <c r="A396" t="str">
        <f>T("   860900")</f>
        <v xml:space="preserve">   860900</v>
      </c>
      <c r="B396"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396">
        <v>950000</v>
      </c>
      <c r="D396">
        <v>16000</v>
      </c>
    </row>
    <row r="397" spans="1:4" x14ac:dyDescent="0.25">
      <c r="A397" t="str">
        <f>T("   870120")</f>
        <v xml:space="preserve">   870120</v>
      </c>
      <c r="B397" t="str">
        <f>T("   Tracteurs routiers pour semi-remorques")</f>
        <v xml:space="preserve">   Tracteurs routiers pour semi-remorques</v>
      </c>
      <c r="C397">
        <v>68123395</v>
      </c>
      <c r="D397">
        <v>109863</v>
      </c>
    </row>
    <row r="398" spans="1:4" x14ac:dyDescent="0.25">
      <c r="A398" t="str">
        <f>T("   870190")</f>
        <v xml:space="preserve">   870190</v>
      </c>
      <c r="B398"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398">
        <v>10678800</v>
      </c>
      <c r="D398">
        <v>27212</v>
      </c>
    </row>
    <row r="399" spans="1:4" x14ac:dyDescent="0.25">
      <c r="A399" t="str">
        <f>T("   870290")</f>
        <v xml:space="preserve">   870290</v>
      </c>
      <c r="B399" t="s">
        <v>96</v>
      </c>
      <c r="C399">
        <v>6859600</v>
      </c>
      <c r="D399">
        <v>2015</v>
      </c>
    </row>
    <row r="400" spans="1:4" x14ac:dyDescent="0.25">
      <c r="A400" t="str">
        <f>T("   870322")</f>
        <v xml:space="preserve">   870322</v>
      </c>
      <c r="B400" t="s">
        <v>97</v>
      </c>
      <c r="C400">
        <v>21419628</v>
      </c>
      <c r="D400">
        <v>4410</v>
      </c>
    </row>
    <row r="401" spans="1:4" x14ac:dyDescent="0.25">
      <c r="A401" t="str">
        <f>T("   870323")</f>
        <v xml:space="preserve">   870323</v>
      </c>
      <c r="B401" t="s">
        <v>98</v>
      </c>
      <c r="C401">
        <v>5829336</v>
      </c>
      <c r="D401">
        <v>2495</v>
      </c>
    </row>
    <row r="402" spans="1:4" x14ac:dyDescent="0.25">
      <c r="A402" t="str">
        <f>T("   870324")</f>
        <v xml:space="preserve">   870324</v>
      </c>
      <c r="B402" t="s">
        <v>99</v>
      </c>
      <c r="C402">
        <v>13512776</v>
      </c>
      <c r="D402">
        <v>1950</v>
      </c>
    </row>
    <row r="403" spans="1:4" x14ac:dyDescent="0.25">
      <c r="A403" t="str">
        <f>T("   870421")</f>
        <v xml:space="preserve">   870421</v>
      </c>
      <c r="B403" t="s">
        <v>102</v>
      </c>
      <c r="C403">
        <v>30377100</v>
      </c>
      <c r="D403">
        <v>30900</v>
      </c>
    </row>
    <row r="404" spans="1:4" x14ac:dyDescent="0.25">
      <c r="A404" t="str">
        <f>T("   870422")</f>
        <v xml:space="preserve">   870422</v>
      </c>
      <c r="B404" t="s">
        <v>103</v>
      </c>
      <c r="C404">
        <v>19990223</v>
      </c>
      <c r="D404">
        <v>76756</v>
      </c>
    </row>
    <row r="405" spans="1:4" x14ac:dyDescent="0.25">
      <c r="A405" t="str">
        <f>T("   870423")</f>
        <v xml:space="preserve">   870423</v>
      </c>
      <c r="B405" t="s">
        <v>104</v>
      </c>
      <c r="C405">
        <v>2875752</v>
      </c>
      <c r="D405">
        <v>23450</v>
      </c>
    </row>
    <row r="406" spans="1:4" x14ac:dyDescent="0.25">
      <c r="A406" t="str">
        <f>T("   870899")</f>
        <v xml:space="preserve">   870899</v>
      </c>
      <c r="B40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06">
        <v>20542060</v>
      </c>
      <c r="D406">
        <v>13738</v>
      </c>
    </row>
    <row r="407" spans="1:4" x14ac:dyDescent="0.25">
      <c r="A407" t="str">
        <f>T("   871620")</f>
        <v xml:space="preserve">   871620</v>
      </c>
      <c r="B407" t="str">
        <f>T("   Remorques et semi-remorques autochargeuses ou autodéchargeuses, pour usages agricoles")</f>
        <v xml:space="preserve">   Remorques et semi-remorques autochargeuses ou autodéchargeuses, pour usages agricoles</v>
      </c>
      <c r="C407">
        <v>4757045</v>
      </c>
      <c r="D407">
        <v>9962</v>
      </c>
    </row>
    <row r="408" spans="1:4" x14ac:dyDescent="0.25">
      <c r="A408" t="str">
        <f>T("   871631")</f>
        <v xml:space="preserve">   871631</v>
      </c>
      <c r="B408" t="str">
        <f>T("   Remorques-citernes ne circulant pas sur rails")</f>
        <v xml:space="preserve">   Remorques-citernes ne circulant pas sur rails</v>
      </c>
      <c r="C408">
        <v>11719449</v>
      </c>
      <c r="D408">
        <v>85956</v>
      </c>
    </row>
    <row r="409" spans="1:4" x14ac:dyDescent="0.25">
      <c r="A409" t="str">
        <f>T("   890110")</f>
        <v xml:space="preserve">   890110</v>
      </c>
      <c r="B409" t="str">
        <f>T("   Paquebots, bateaux de croisières et simil., pour le transport de personnes; transbordeurs")</f>
        <v xml:space="preserve">   Paquebots, bateaux de croisières et simil., pour le transport de personnes; transbordeurs</v>
      </c>
      <c r="C409">
        <v>2500000</v>
      </c>
      <c r="D409">
        <v>2648</v>
      </c>
    </row>
    <row r="410" spans="1:4" x14ac:dyDescent="0.25">
      <c r="A410" t="str">
        <f>T("   890391")</f>
        <v xml:space="preserve">   890391</v>
      </c>
      <c r="B410" t="str">
        <f>T("   Bateaux à voile, de plaisance ou de sport, même avec moteur auxiliaire")</f>
        <v xml:space="preserve">   Bateaux à voile, de plaisance ou de sport, même avec moteur auxiliaire</v>
      </c>
      <c r="C410">
        <v>300000</v>
      </c>
      <c r="D410">
        <v>1500</v>
      </c>
    </row>
    <row r="411" spans="1:4" x14ac:dyDescent="0.25">
      <c r="A411" t="str">
        <f>T("   940310")</f>
        <v xml:space="preserve">   940310</v>
      </c>
      <c r="B411" t="str">
        <f>T("   Meubles de bureau en métal (sauf sièges)")</f>
        <v xml:space="preserve">   Meubles de bureau en métal (sauf sièges)</v>
      </c>
      <c r="C411">
        <v>8000000</v>
      </c>
      <c r="D411">
        <v>4800</v>
      </c>
    </row>
    <row r="412" spans="1:4" x14ac:dyDescent="0.25">
      <c r="A412" t="str">
        <f>T("   940350")</f>
        <v xml:space="preserve">   940350</v>
      </c>
      <c r="B412" t="str">
        <f>T("   Meubles pour chambres à coucher, en bois (sauf sièges)")</f>
        <v xml:space="preserve">   Meubles pour chambres à coucher, en bois (sauf sièges)</v>
      </c>
      <c r="C412">
        <v>1400000</v>
      </c>
      <c r="D412">
        <v>2200</v>
      </c>
    </row>
    <row r="413" spans="1:4" x14ac:dyDescent="0.25">
      <c r="A413" t="str">
        <f>T("   940380")</f>
        <v xml:space="preserve">   940380</v>
      </c>
      <c r="B413" t="str">
        <f>T("   Meubles en rotin, osier, bambou ou autres matières (sauf métal, bois et matières plastiques)")</f>
        <v xml:space="preserve">   Meubles en rotin, osier, bambou ou autres matières (sauf métal, bois et matières plastiques)</v>
      </c>
      <c r="C413">
        <v>300000</v>
      </c>
      <c r="D413">
        <v>210.12</v>
      </c>
    </row>
    <row r="414" spans="1:4" x14ac:dyDescent="0.25">
      <c r="A414" t="str">
        <f>T("GB")</f>
        <v>GB</v>
      </c>
      <c r="B414" t="str">
        <f>T("Royaume-Uni")</f>
        <v>Royaume-Uni</v>
      </c>
    </row>
    <row r="415" spans="1:4" x14ac:dyDescent="0.25">
      <c r="A415" t="str">
        <f>T("   ZZ_Total_Produit_SH6")</f>
        <v xml:space="preserve">   ZZ_Total_Produit_SH6</v>
      </c>
      <c r="B415" t="str">
        <f>T("   ZZ_Total_Produit_SH6")</f>
        <v xml:space="preserve">   ZZ_Total_Produit_SH6</v>
      </c>
      <c r="C415">
        <v>2675000</v>
      </c>
      <c r="D415">
        <v>16100</v>
      </c>
    </row>
    <row r="416" spans="1:4" x14ac:dyDescent="0.25">
      <c r="A416" t="str">
        <f>T("   520299")</f>
        <v xml:space="preserve">   520299</v>
      </c>
      <c r="B416" t="str">
        <f>T("   Déchets de coton (à l'excl. des déchets de fils et des effilochés)")</f>
        <v xml:space="preserve">   Déchets de coton (à l'excl. des déchets de fils et des effilochés)</v>
      </c>
      <c r="C416">
        <v>1875000</v>
      </c>
      <c r="D416">
        <v>15000</v>
      </c>
    </row>
    <row r="417" spans="1:4" x14ac:dyDescent="0.25">
      <c r="A417" t="str">
        <f>T("   870322")</f>
        <v xml:space="preserve">   870322</v>
      </c>
      <c r="B417" t="s">
        <v>97</v>
      </c>
      <c r="C417">
        <v>800000</v>
      </c>
      <c r="D417">
        <v>1100</v>
      </c>
    </row>
    <row r="418" spans="1:4" x14ac:dyDescent="0.25">
      <c r="A418" t="str">
        <f>T("GH")</f>
        <v>GH</v>
      </c>
      <c r="B418" t="str">
        <f>T("Ghana")</f>
        <v>Ghana</v>
      </c>
    </row>
    <row r="419" spans="1:4" x14ac:dyDescent="0.25">
      <c r="A419" t="str">
        <f>T("   ZZ_Total_Produit_SH6")</f>
        <v xml:space="preserve">   ZZ_Total_Produit_SH6</v>
      </c>
      <c r="B419" t="str">
        <f>T("   ZZ_Total_Produit_SH6")</f>
        <v xml:space="preserve">   ZZ_Total_Produit_SH6</v>
      </c>
      <c r="C419">
        <v>2964231407</v>
      </c>
      <c r="D419">
        <v>7695343.6200000001</v>
      </c>
    </row>
    <row r="420" spans="1:4" x14ac:dyDescent="0.25">
      <c r="A420" t="str">
        <f>T("   030379")</f>
        <v xml:space="preserve">   030379</v>
      </c>
      <c r="B420" t="s">
        <v>13</v>
      </c>
      <c r="C420">
        <v>123870000</v>
      </c>
      <c r="D420">
        <v>279200</v>
      </c>
    </row>
    <row r="421" spans="1:4" x14ac:dyDescent="0.25">
      <c r="A421" t="str">
        <f>T("   080211")</f>
        <v xml:space="preserve">   080211</v>
      </c>
      <c r="B421" t="str">
        <f>T("   Amandes, fraîches ou sèches, en coques")</f>
        <v xml:space="preserve">   Amandes, fraîches ou sèches, en coques</v>
      </c>
      <c r="C421">
        <v>15147918</v>
      </c>
      <c r="D421">
        <v>708932</v>
      </c>
    </row>
    <row r="422" spans="1:4" x14ac:dyDescent="0.25">
      <c r="A422" t="str">
        <f>T("   120100")</f>
        <v xml:space="preserve">   120100</v>
      </c>
      <c r="B422" t="str">
        <f>T("   Fèves de soja, même concassées")</f>
        <v xml:space="preserve">   Fèves de soja, même concassées</v>
      </c>
      <c r="C422">
        <v>3000000</v>
      </c>
      <c r="D422">
        <v>20000</v>
      </c>
    </row>
    <row r="423" spans="1:4" x14ac:dyDescent="0.25">
      <c r="A423" t="str">
        <f>T("   120710")</f>
        <v xml:space="preserve">   120710</v>
      </c>
      <c r="B423" t="str">
        <f>T("   NOIX ET AMANDES DE PALMISTES")</f>
        <v xml:space="preserve">   NOIX ET AMANDES DE PALMISTES</v>
      </c>
      <c r="C423">
        <v>43293162</v>
      </c>
      <c r="D423">
        <v>525</v>
      </c>
    </row>
    <row r="424" spans="1:4" x14ac:dyDescent="0.25">
      <c r="A424" t="str">
        <f>T("   210690")</f>
        <v xml:space="preserve">   210690</v>
      </c>
      <c r="B424" t="str">
        <f>T("   Préparations alimentaires, n.d.a.")</f>
        <v xml:space="preserve">   Préparations alimentaires, n.d.a.</v>
      </c>
      <c r="C424">
        <v>8020641</v>
      </c>
      <c r="D424">
        <v>630</v>
      </c>
    </row>
    <row r="425" spans="1:4" x14ac:dyDescent="0.25">
      <c r="A425" t="str">
        <f>T("   230310")</f>
        <v xml:space="preserve">   230310</v>
      </c>
      <c r="B425" t="str">
        <f>T("   Résidus d'amidonnerie et résidus simil.")</f>
        <v xml:space="preserve">   Résidus d'amidonnerie et résidus simil.</v>
      </c>
      <c r="C425">
        <v>4800000</v>
      </c>
      <c r="D425">
        <v>30000</v>
      </c>
    </row>
    <row r="426" spans="1:4" x14ac:dyDescent="0.25">
      <c r="A426" t="str">
        <f>T("   230400")</f>
        <v xml:space="preserve">   230400</v>
      </c>
      <c r="B42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26">
        <v>264617855</v>
      </c>
      <c r="D426">
        <v>927571</v>
      </c>
    </row>
    <row r="427" spans="1:4" x14ac:dyDescent="0.25">
      <c r="A427" t="str">
        <f>T("   230610")</f>
        <v xml:space="preserve">   230610</v>
      </c>
      <c r="B42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27">
        <v>807087805</v>
      </c>
      <c r="D427">
        <v>4797066</v>
      </c>
    </row>
    <row r="428" spans="1:4" x14ac:dyDescent="0.25">
      <c r="A428" t="str">
        <f>T("   271320")</f>
        <v xml:space="preserve">   271320</v>
      </c>
      <c r="B428" t="str">
        <f>T("   Bitume de pétrole")</f>
        <v xml:space="preserve">   Bitume de pétrole</v>
      </c>
      <c r="C428">
        <v>2224000</v>
      </c>
      <c r="D428">
        <v>8000</v>
      </c>
    </row>
    <row r="429" spans="1:4" x14ac:dyDescent="0.25">
      <c r="A429" t="str">
        <f>T("   300490")</f>
        <v xml:space="preserve">   300490</v>
      </c>
      <c r="B429" t="s">
        <v>29</v>
      </c>
      <c r="C429">
        <v>84525530</v>
      </c>
      <c r="D429">
        <v>6364</v>
      </c>
    </row>
    <row r="430" spans="1:4" x14ac:dyDescent="0.25">
      <c r="A430" t="str">
        <f>T("   320820")</f>
        <v xml:space="preserve">   320820</v>
      </c>
      <c r="B430" t="s">
        <v>31</v>
      </c>
      <c r="C430">
        <v>10167207</v>
      </c>
      <c r="D430">
        <v>4680</v>
      </c>
    </row>
    <row r="431" spans="1:4" x14ac:dyDescent="0.25">
      <c r="A431" t="str">
        <f>T("   391723")</f>
        <v xml:space="preserve">   391723</v>
      </c>
      <c r="B431" t="str">
        <f>T("   TUBES ET TUYAUX RIGIDES, EN POLYMÈRES DU CHLORURE DE VINYLE")</f>
        <v xml:space="preserve">   TUBES ET TUYAUX RIGIDES, EN POLYMÈRES DU CHLORURE DE VINYLE</v>
      </c>
      <c r="C431">
        <v>17922835</v>
      </c>
      <c r="D431">
        <v>22229.32</v>
      </c>
    </row>
    <row r="432" spans="1:4" x14ac:dyDescent="0.25">
      <c r="A432" t="str">
        <f>T("   391729")</f>
        <v xml:space="preserve">   391729</v>
      </c>
      <c r="B432"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32">
        <v>264848</v>
      </c>
      <c r="D432">
        <v>2932</v>
      </c>
    </row>
    <row r="433" spans="1:4" x14ac:dyDescent="0.25">
      <c r="A433" t="str">
        <f>T("   391739")</f>
        <v xml:space="preserve">   391739</v>
      </c>
      <c r="B433"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33">
        <v>13917800</v>
      </c>
      <c r="D433">
        <v>35975.300000000003</v>
      </c>
    </row>
    <row r="434" spans="1:4" x14ac:dyDescent="0.25">
      <c r="A434" t="str">
        <f>T("   391990")</f>
        <v xml:space="preserve">   391990</v>
      </c>
      <c r="B434" t="s">
        <v>36</v>
      </c>
      <c r="C434">
        <v>1437500</v>
      </c>
      <c r="D434">
        <v>1281</v>
      </c>
    </row>
    <row r="435" spans="1:4" x14ac:dyDescent="0.25">
      <c r="A435" t="str">
        <f>T("   392310")</f>
        <v xml:space="preserve">   392310</v>
      </c>
      <c r="B435" t="str">
        <f>T("   Boîtes, caisses, casiers et articles simil. pour le transport ou l'emballage, en matières plastiques")</f>
        <v xml:space="preserve">   Boîtes, caisses, casiers et articles simil. pour le transport ou l'emballage, en matières plastiques</v>
      </c>
      <c r="C435">
        <v>1390000</v>
      </c>
      <c r="D435">
        <v>4950</v>
      </c>
    </row>
    <row r="436" spans="1:4" x14ac:dyDescent="0.25">
      <c r="A436" t="str">
        <f>T("   392329")</f>
        <v xml:space="preserve">   392329</v>
      </c>
      <c r="B436" t="str">
        <f>T("   Sacs, sachets, pochettes et cornets, en matières plastiques (autres que les polymères de l'éthylène)")</f>
        <v xml:space="preserve">   Sacs, sachets, pochettes et cornets, en matières plastiques (autres que les polymères de l'éthylène)</v>
      </c>
      <c r="C436">
        <v>3111612</v>
      </c>
      <c r="D436">
        <v>14000</v>
      </c>
    </row>
    <row r="437" spans="1:4" x14ac:dyDescent="0.25">
      <c r="A437" t="str">
        <f>T("   392330")</f>
        <v xml:space="preserve">   392330</v>
      </c>
      <c r="B437" t="str">
        <f>T("   Bonbonnes, bouteilles, flacons et articles simil. pour le transport ou l'emballage, en matières plastiques")</f>
        <v xml:space="preserve">   Bonbonnes, bouteilles, flacons et articles simil. pour le transport ou l'emballage, en matières plastiques</v>
      </c>
      <c r="C437">
        <v>1950000</v>
      </c>
      <c r="D437">
        <v>13000</v>
      </c>
    </row>
    <row r="438" spans="1:4" x14ac:dyDescent="0.25">
      <c r="A438" t="str">
        <f>T("   490700")</f>
        <v xml:space="preserve">   490700</v>
      </c>
      <c r="B438" t="s">
        <v>52</v>
      </c>
      <c r="C438">
        <v>4000000</v>
      </c>
      <c r="D438">
        <v>1700</v>
      </c>
    </row>
    <row r="439" spans="1:4" x14ac:dyDescent="0.25">
      <c r="A439" t="str">
        <f>T("   520812")</f>
        <v xml:space="preserve">   520812</v>
      </c>
      <c r="B439" t="str">
        <f>T("   Tissus de coton, écrus, à armure toile, contenant &gt;= 85% en poids de coton, d'un poids &gt; 100 g/m² mais &lt;= 200 g/m²")</f>
        <v xml:space="preserve">   Tissus de coton, écrus, à armure toile, contenant &gt;= 85% en poids de coton, d'un poids &gt; 100 g/m² mais &lt;= 200 g/m²</v>
      </c>
      <c r="C439">
        <v>1381689960</v>
      </c>
      <c r="D439">
        <v>470733</v>
      </c>
    </row>
    <row r="440" spans="1:4" x14ac:dyDescent="0.25">
      <c r="A440" t="str">
        <f>T("   720429")</f>
        <v xml:space="preserve">   720429</v>
      </c>
      <c r="B44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40">
        <v>2000000</v>
      </c>
      <c r="D440">
        <v>40000</v>
      </c>
    </row>
    <row r="441" spans="1:4" x14ac:dyDescent="0.25">
      <c r="A441" t="str">
        <f>T("   720430")</f>
        <v xml:space="preserve">   720430</v>
      </c>
      <c r="B44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441">
        <v>1000000</v>
      </c>
      <c r="D441">
        <v>20000</v>
      </c>
    </row>
    <row r="442" spans="1:4" x14ac:dyDescent="0.25">
      <c r="A442" t="str">
        <f>T("   720449")</f>
        <v xml:space="preserve">   720449</v>
      </c>
      <c r="B442" t="s">
        <v>64</v>
      </c>
      <c r="C442">
        <v>1500000</v>
      </c>
      <c r="D442">
        <v>30000</v>
      </c>
    </row>
    <row r="443" spans="1:4" x14ac:dyDescent="0.25">
      <c r="A443" t="str">
        <f>T("   721590")</f>
        <v xml:space="preserve">   721590</v>
      </c>
      <c r="B443"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443">
        <v>41300000</v>
      </c>
      <c r="D443">
        <v>140000</v>
      </c>
    </row>
    <row r="444" spans="1:4" x14ac:dyDescent="0.25">
      <c r="A444" t="str">
        <f>T("   730690")</f>
        <v xml:space="preserve">   730690</v>
      </c>
      <c r="B444"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444">
        <v>1023298</v>
      </c>
      <c r="D444">
        <v>552</v>
      </c>
    </row>
    <row r="445" spans="1:4" x14ac:dyDescent="0.25">
      <c r="A445" t="str">
        <f>T("   730799")</f>
        <v xml:space="preserve">   730799</v>
      </c>
      <c r="B44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445">
        <v>369305</v>
      </c>
      <c r="D445">
        <v>200</v>
      </c>
    </row>
    <row r="446" spans="1:4" x14ac:dyDescent="0.25">
      <c r="A446" t="str">
        <f>T("   730840")</f>
        <v xml:space="preserve">   730840</v>
      </c>
      <c r="B446"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446">
        <v>1891515</v>
      </c>
      <c r="D446">
        <v>8315</v>
      </c>
    </row>
    <row r="447" spans="1:4" x14ac:dyDescent="0.25">
      <c r="A447" t="str">
        <f>T("   730890")</f>
        <v xml:space="preserve">   730890</v>
      </c>
      <c r="B447" t="s">
        <v>67</v>
      </c>
      <c r="C447">
        <v>41869271</v>
      </c>
      <c r="D447">
        <v>22580</v>
      </c>
    </row>
    <row r="448" spans="1:4" x14ac:dyDescent="0.25">
      <c r="A448" t="str">
        <f>T("   730900")</f>
        <v xml:space="preserve">   730900</v>
      </c>
      <c r="B448" t="s">
        <v>68</v>
      </c>
      <c r="C448">
        <v>1052816</v>
      </c>
      <c r="D448">
        <v>168</v>
      </c>
    </row>
    <row r="449" spans="1:4" x14ac:dyDescent="0.25">
      <c r="A449" t="str">
        <f>T("   732399")</f>
        <v xml:space="preserve">   732399</v>
      </c>
      <c r="B449" t="s">
        <v>73</v>
      </c>
      <c r="C449">
        <v>400000</v>
      </c>
      <c r="D449">
        <v>10000</v>
      </c>
    </row>
    <row r="450" spans="1:4" x14ac:dyDescent="0.25">
      <c r="A450" t="str">
        <f>T("   732690")</f>
        <v xml:space="preserve">   732690</v>
      </c>
      <c r="B45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50">
        <v>175797</v>
      </c>
      <c r="D450">
        <v>28</v>
      </c>
    </row>
    <row r="451" spans="1:4" x14ac:dyDescent="0.25">
      <c r="A451" t="str">
        <f>T("   820559")</f>
        <v xml:space="preserve">   820559</v>
      </c>
      <c r="B451" t="str">
        <f>T("   Outils à main, y.c. -les diamants de vitrier-, en métaux communs, n.d.a.")</f>
        <v xml:space="preserve">   Outils à main, y.c. -les diamants de vitrier-, en métaux communs, n.d.a.</v>
      </c>
      <c r="C451">
        <v>4705857</v>
      </c>
      <c r="D451">
        <v>1452</v>
      </c>
    </row>
    <row r="452" spans="1:4" x14ac:dyDescent="0.25">
      <c r="A452" t="str">
        <f>T("   841440")</f>
        <v xml:space="preserve">   841440</v>
      </c>
      <c r="B452" t="str">
        <f>T("   Compresseurs d'air montés sur châssis à roues et remorquables")</f>
        <v xml:space="preserve">   Compresseurs d'air montés sur châssis à roues et remorquables</v>
      </c>
      <c r="C452">
        <v>5615674</v>
      </c>
      <c r="D452">
        <v>900</v>
      </c>
    </row>
    <row r="453" spans="1:4" x14ac:dyDescent="0.25">
      <c r="A453" t="str">
        <f>T("   842519")</f>
        <v xml:space="preserve">   842519</v>
      </c>
      <c r="B453" t="str">
        <f>T("   Palans autres qu'à moteur électrique")</f>
        <v xml:space="preserve">   Palans autres qu'à moteur électrique</v>
      </c>
      <c r="C453">
        <v>81339</v>
      </c>
      <c r="D453">
        <v>15</v>
      </c>
    </row>
    <row r="454" spans="1:4" x14ac:dyDescent="0.25">
      <c r="A454" t="str">
        <f>T("   842542")</f>
        <v xml:space="preserve">   842542</v>
      </c>
      <c r="B454" t="str">
        <f>T("   Crics et vérins, hydrauliques (sauf élévateurs fixes des types utilisés dans les garages pour voitures)")</f>
        <v xml:space="preserve">   Crics et vérins, hydrauliques (sauf élévateurs fixes des types utilisés dans les garages pour voitures)</v>
      </c>
      <c r="C454">
        <v>61004</v>
      </c>
      <c r="D454">
        <v>12</v>
      </c>
    </row>
    <row r="455" spans="1:4" x14ac:dyDescent="0.25">
      <c r="A455" t="str">
        <f>T("   842620")</f>
        <v xml:space="preserve">   842620</v>
      </c>
      <c r="B455" t="str">
        <f>T("   Grues à tour")</f>
        <v xml:space="preserve">   Grues à tour</v>
      </c>
      <c r="C455">
        <v>13000000</v>
      </c>
      <c r="D455">
        <v>22000</v>
      </c>
    </row>
    <row r="456" spans="1:4" x14ac:dyDescent="0.25">
      <c r="A456" t="str">
        <f>T("   842790")</f>
        <v xml:space="preserve">   842790</v>
      </c>
      <c r="B456" t="str">
        <f>T("   Chariots de manutention munis d'un dispositif de levage mais non autopropulsés")</f>
        <v xml:space="preserve">   Chariots de manutention munis d'un dispositif de levage mais non autopropulsés</v>
      </c>
      <c r="C456">
        <v>7262135</v>
      </c>
      <c r="D456">
        <v>8531</v>
      </c>
    </row>
    <row r="457" spans="1:4" x14ac:dyDescent="0.25">
      <c r="A457" t="str">
        <f>T("   846090")</f>
        <v xml:space="preserve">   846090</v>
      </c>
      <c r="B457" t="s">
        <v>86</v>
      </c>
      <c r="C457">
        <v>179077</v>
      </c>
      <c r="D457">
        <v>34</v>
      </c>
    </row>
    <row r="458" spans="1:4" x14ac:dyDescent="0.25">
      <c r="A458" t="str">
        <f>T("   846120")</f>
        <v xml:space="preserve">   846120</v>
      </c>
      <c r="B458" t="str">
        <f>T("   Etaux-limeurs et machines à mortaiser, pour le travail des métaux")</f>
        <v xml:space="preserve">   Etaux-limeurs et machines à mortaiser, pour le travail des métaux</v>
      </c>
      <c r="C458">
        <v>46573</v>
      </c>
      <c r="D458">
        <v>9</v>
      </c>
    </row>
    <row r="459" spans="1:4" x14ac:dyDescent="0.25">
      <c r="A459" t="str">
        <f>T("   846390")</f>
        <v xml:space="preserve">   846390</v>
      </c>
      <c r="B459" t="s">
        <v>87</v>
      </c>
      <c r="C459">
        <v>195476</v>
      </c>
      <c r="D459">
        <v>37</v>
      </c>
    </row>
    <row r="460" spans="1:4" x14ac:dyDescent="0.25">
      <c r="A460" t="str">
        <f>T("   846810")</f>
        <v xml:space="preserve">   846810</v>
      </c>
      <c r="B460" t="str">
        <f>T("   Chalumeaux guidés à la main pour le brasage ou le soudage aux gaz")</f>
        <v xml:space="preserve">   Chalumeaux guidés à la main pour le brasage ou le soudage aux gaz</v>
      </c>
      <c r="C460">
        <v>137752</v>
      </c>
      <c r="D460">
        <v>26</v>
      </c>
    </row>
    <row r="461" spans="1:4" x14ac:dyDescent="0.25">
      <c r="A461" t="str">
        <f>T("   847480")</f>
        <v xml:space="preserve">   847480</v>
      </c>
      <c r="B461" t="s">
        <v>90</v>
      </c>
      <c r="C461">
        <v>350939</v>
      </c>
      <c r="D461">
        <v>56</v>
      </c>
    </row>
    <row r="462" spans="1:4" x14ac:dyDescent="0.25">
      <c r="A462" t="str">
        <f>T("   847989")</f>
        <v xml:space="preserve">   847989</v>
      </c>
      <c r="B462" t="str">
        <f>T("   Machines et appareils, y.c. les appareils mécaniques, n.d.a.")</f>
        <v xml:space="preserve">   Machines et appareils, y.c. les appareils mécaniques, n.d.a.</v>
      </c>
      <c r="C462">
        <v>6067630</v>
      </c>
      <c r="D462">
        <v>6500</v>
      </c>
    </row>
    <row r="463" spans="1:4" x14ac:dyDescent="0.25">
      <c r="A463" t="str">
        <f>T("   848490")</f>
        <v xml:space="preserve">   848490</v>
      </c>
      <c r="B463" t="str">
        <f>T("   Jeux ou assortiments de joints de composition différente présentés en pochettes, enveloppes ou emballages analogues")</f>
        <v xml:space="preserve">   Jeux ou assortiments de joints de composition différente présentés en pochettes, enveloppes ou emballages analogues</v>
      </c>
      <c r="C463">
        <v>1461479</v>
      </c>
      <c r="D463">
        <v>788</v>
      </c>
    </row>
    <row r="464" spans="1:4" x14ac:dyDescent="0.25">
      <c r="A464" t="str">
        <f>T("   850212")</f>
        <v xml:space="preserve">   850212</v>
      </c>
      <c r="B464"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464">
        <v>2579872</v>
      </c>
      <c r="D464">
        <v>2000</v>
      </c>
    </row>
    <row r="465" spans="1:4" x14ac:dyDescent="0.25">
      <c r="A465" t="str">
        <f>T("   851529")</f>
        <v xml:space="preserve">   851529</v>
      </c>
      <c r="B465" t="str">
        <f>T("   MACHINES ET APPAREILS POUR LE SOUDAGE DES MÉTAUX PAR RÉSISTANCE, NON-AUTOMATIQUES")</f>
        <v xml:space="preserve">   MACHINES ET APPAREILS POUR LE SOUDAGE DES MÉTAUX PAR RÉSISTANCE, NON-AUTOMATIQUES</v>
      </c>
      <c r="C465">
        <v>16657448</v>
      </c>
      <c r="D465">
        <v>3143</v>
      </c>
    </row>
    <row r="466" spans="1:4" x14ac:dyDescent="0.25">
      <c r="A466" t="str">
        <f>T("   851539")</f>
        <v xml:space="preserve">   851539</v>
      </c>
      <c r="B466" t="str">
        <f>T("   MACHINES ET APPAREILS POUR LE SOUDAGE DES MÉTAUX À L'ARC OU AU JET DE PLASMA, NON-AUTOMATIQUES")</f>
        <v xml:space="preserve">   MACHINES ET APPAREILS POUR LE SOUDAGE DES MÉTAUX À L'ARC OU AU JET DE PLASMA, NON-AUTOMATIQUES</v>
      </c>
      <c r="C466">
        <v>1379280</v>
      </c>
      <c r="D466">
        <v>5260</v>
      </c>
    </row>
    <row r="467" spans="1:4" x14ac:dyDescent="0.25">
      <c r="A467" t="str">
        <f>T("   853710")</f>
        <v xml:space="preserve">   853710</v>
      </c>
      <c r="B46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467">
        <v>880299</v>
      </c>
      <c r="D467">
        <v>166</v>
      </c>
    </row>
    <row r="468" spans="1:4" x14ac:dyDescent="0.25">
      <c r="A468" t="str">
        <f>T("   854810")</f>
        <v xml:space="preserve">   854810</v>
      </c>
      <c r="B468" t="str">
        <f>T("   Déchets et débris de piles, de batteries de piles et d'accumulateurs électriques; piles et batteries de piles électriques hors d'usage et accumulateurs électriques hors d'usage")</f>
        <v xml:space="preserve">   Déchets et débris de piles, de batteries de piles et d'accumulateurs électriques; piles et batteries de piles électriques hors d'usage et accumulateurs électriques hors d'usage</v>
      </c>
      <c r="C468">
        <v>1000000</v>
      </c>
      <c r="D468">
        <v>20000</v>
      </c>
    </row>
    <row r="469" spans="1:4" x14ac:dyDescent="0.25">
      <c r="A469" t="str">
        <f>T("   901890")</f>
        <v xml:space="preserve">   901890</v>
      </c>
      <c r="B469" t="str">
        <f>T("   Instruments et appareils pour la médecine, la chirurgie ou l'art vétérinaire, n.d.a.")</f>
        <v xml:space="preserve">   Instruments et appareils pour la médecine, la chirurgie ou l'art vétérinaire, n.d.a.</v>
      </c>
      <c r="C469">
        <v>17548898</v>
      </c>
      <c r="D469">
        <v>2803</v>
      </c>
    </row>
    <row r="470" spans="1:4" x14ac:dyDescent="0.25">
      <c r="A470" t="str">
        <f>T("GM")</f>
        <v>GM</v>
      </c>
      <c r="B470" t="str">
        <f>T("Gambie")</f>
        <v>Gambie</v>
      </c>
    </row>
    <row r="471" spans="1:4" x14ac:dyDescent="0.25">
      <c r="A471" t="str">
        <f>T("   ZZ_Total_Produit_SH6")</f>
        <v xml:space="preserve">   ZZ_Total_Produit_SH6</v>
      </c>
      <c r="B471" t="str">
        <f>T("   ZZ_Total_Produit_SH6")</f>
        <v xml:space="preserve">   ZZ_Total_Produit_SH6</v>
      </c>
      <c r="C471">
        <v>1481158</v>
      </c>
      <c r="D471">
        <v>1034</v>
      </c>
    </row>
    <row r="472" spans="1:4" x14ac:dyDescent="0.25">
      <c r="A472" t="str">
        <f>T("   630619")</f>
        <v xml:space="preserve">   630619</v>
      </c>
      <c r="B472"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472">
        <v>655960</v>
      </c>
      <c r="D472">
        <v>80</v>
      </c>
    </row>
    <row r="473" spans="1:4" x14ac:dyDescent="0.25">
      <c r="A473" t="str">
        <f>T("   843240")</f>
        <v xml:space="preserve">   843240</v>
      </c>
      <c r="B473" t="str">
        <f>T("   ÉPANDEURS DE FUMIER ET DISTRIBUTEURS D'ENGRAIS POUR L'AGRICULTURE, LA SYLVICULTURE OU L'HORTICULTURE")</f>
        <v xml:space="preserve">   ÉPANDEURS DE FUMIER ET DISTRIBUTEURS D'ENGRAIS POUR L'AGRICULTURE, LA SYLVICULTURE OU L'HORTICULTURE</v>
      </c>
      <c r="C473">
        <v>825198</v>
      </c>
      <c r="D473">
        <v>954</v>
      </c>
    </row>
    <row r="474" spans="1:4" x14ac:dyDescent="0.25">
      <c r="A474" t="str">
        <f>T("GN")</f>
        <v>GN</v>
      </c>
      <c r="B474" t="str">
        <f>T("Guinée")</f>
        <v>Guinée</v>
      </c>
    </row>
    <row r="475" spans="1:4" x14ac:dyDescent="0.25">
      <c r="A475" t="str">
        <f>T("   ZZ_Total_Produit_SH6")</f>
        <v xml:space="preserve">   ZZ_Total_Produit_SH6</v>
      </c>
      <c r="B475" t="str">
        <f>T("   ZZ_Total_Produit_SH6")</f>
        <v xml:space="preserve">   ZZ_Total_Produit_SH6</v>
      </c>
      <c r="C475">
        <v>21725277</v>
      </c>
      <c r="D475">
        <v>294729</v>
      </c>
    </row>
    <row r="476" spans="1:4" x14ac:dyDescent="0.25">
      <c r="A476" t="str">
        <f>T("   401290")</f>
        <v xml:space="preserve">   401290</v>
      </c>
      <c r="B476" t="str">
        <f>T("   Bandages pleins ou creux [mi-pleins], bandes de roulement amovibles pour pneumatiques et flaps, en caoutchouc")</f>
        <v xml:space="preserve">   Bandages pleins ou creux [mi-pleins], bandes de roulement amovibles pour pneumatiques et flaps, en caoutchouc</v>
      </c>
      <c r="C476">
        <v>223026</v>
      </c>
      <c r="D476">
        <v>2774</v>
      </c>
    </row>
    <row r="477" spans="1:4" x14ac:dyDescent="0.25">
      <c r="A477" t="str">
        <f>T("   620590")</f>
        <v xml:space="preserve">   620590</v>
      </c>
      <c r="B47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77">
        <v>300000</v>
      </c>
      <c r="D477">
        <v>1000</v>
      </c>
    </row>
    <row r="478" spans="1:4" x14ac:dyDescent="0.25">
      <c r="A478" t="str">
        <f>T("   732394")</f>
        <v xml:space="preserve">   732394</v>
      </c>
      <c r="B478" t="s">
        <v>72</v>
      </c>
      <c r="C478">
        <v>500000</v>
      </c>
      <c r="D478">
        <v>1500</v>
      </c>
    </row>
    <row r="479" spans="1:4" x14ac:dyDescent="0.25">
      <c r="A479" t="str">
        <f>T("   840590")</f>
        <v xml:space="preserve">   840590</v>
      </c>
      <c r="B479"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479">
        <v>1364437</v>
      </c>
      <c r="D479">
        <v>16800</v>
      </c>
    </row>
    <row r="480" spans="1:4" x14ac:dyDescent="0.25">
      <c r="A480" t="str">
        <f>T("   840890")</f>
        <v xml:space="preserve">   840890</v>
      </c>
      <c r="B480" t="s">
        <v>80</v>
      </c>
      <c r="C480">
        <v>300000</v>
      </c>
      <c r="D480">
        <v>200</v>
      </c>
    </row>
    <row r="481" spans="1:4" x14ac:dyDescent="0.25">
      <c r="A481" t="str">
        <f>T("   841430")</f>
        <v xml:space="preserve">   841430</v>
      </c>
      <c r="B481" t="str">
        <f>T("   Compresseurs des types utilisés pour équipements frigorifiques")</f>
        <v xml:space="preserve">   Compresseurs des types utilisés pour équipements frigorifiques</v>
      </c>
      <c r="C481">
        <v>459172</v>
      </c>
      <c r="D481">
        <v>1881</v>
      </c>
    </row>
    <row r="482" spans="1:4" x14ac:dyDescent="0.25">
      <c r="A482" t="str">
        <f>T("   841510")</f>
        <v xml:space="preserve">   841510</v>
      </c>
      <c r="B482" t="s">
        <v>82</v>
      </c>
      <c r="C482">
        <v>530000</v>
      </c>
      <c r="D482">
        <v>280</v>
      </c>
    </row>
    <row r="483" spans="1:4" x14ac:dyDescent="0.25">
      <c r="A483" t="str">
        <f>T("   842820")</f>
        <v xml:space="preserve">   842820</v>
      </c>
      <c r="B483" t="str">
        <f>T("   Appareils élévateurs ou transporteurs, pneumatiques")</f>
        <v xml:space="preserve">   Appareils élévateurs ou transporteurs, pneumatiques</v>
      </c>
      <c r="C483">
        <v>524768</v>
      </c>
      <c r="D483">
        <v>4431</v>
      </c>
    </row>
    <row r="484" spans="1:4" x14ac:dyDescent="0.25">
      <c r="A484" t="str">
        <f>T("   842959")</f>
        <v xml:space="preserve">   842959</v>
      </c>
      <c r="B48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484">
        <v>3866852</v>
      </c>
      <c r="D484">
        <v>114000</v>
      </c>
    </row>
    <row r="485" spans="1:4" x14ac:dyDescent="0.25">
      <c r="A485" t="str">
        <f>T("   843069")</f>
        <v xml:space="preserve">   843069</v>
      </c>
      <c r="B485"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485">
        <v>3112903</v>
      </c>
      <c r="D485">
        <v>96650</v>
      </c>
    </row>
    <row r="486" spans="1:4" x14ac:dyDescent="0.25">
      <c r="A486" t="str">
        <f>T("   847220")</f>
        <v xml:space="preserve">   847220</v>
      </c>
      <c r="B486" t="s">
        <v>89</v>
      </c>
      <c r="C486">
        <v>250000</v>
      </c>
      <c r="D486">
        <v>250</v>
      </c>
    </row>
    <row r="487" spans="1:4" x14ac:dyDescent="0.25">
      <c r="A487" t="str">
        <f>T("   850239")</f>
        <v xml:space="preserve">   850239</v>
      </c>
      <c r="B487" t="str">
        <f>T("   Groupes électrogènes (autres qu'à énergie éolienne et à moteurs à piston)")</f>
        <v xml:space="preserve">   Groupes électrogènes (autres qu'à énergie éolienne et à moteurs à piston)</v>
      </c>
      <c r="C487">
        <v>1243045</v>
      </c>
      <c r="D487">
        <v>8013</v>
      </c>
    </row>
    <row r="488" spans="1:4" x14ac:dyDescent="0.25">
      <c r="A488" t="str">
        <f>T("   870322")</f>
        <v xml:space="preserve">   870322</v>
      </c>
      <c r="B488" t="s">
        <v>97</v>
      </c>
      <c r="C488">
        <v>1200000</v>
      </c>
      <c r="D488">
        <v>1450</v>
      </c>
    </row>
    <row r="489" spans="1:4" x14ac:dyDescent="0.25">
      <c r="A489" t="str">
        <f>T("   870421")</f>
        <v xml:space="preserve">   870421</v>
      </c>
      <c r="B489" t="s">
        <v>102</v>
      </c>
      <c r="C489">
        <v>1244582</v>
      </c>
      <c r="D489">
        <v>24000</v>
      </c>
    </row>
    <row r="490" spans="1:4" x14ac:dyDescent="0.25">
      <c r="A490" t="str">
        <f>T("   870422")</f>
        <v xml:space="preserve">   870422</v>
      </c>
      <c r="B490" t="s">
        <v>103</v>
      </c>
      <c r="C490">
        <v>5406492</v>
      </c>
      <c r="D490">
        <v>19000</v>
      </c>
    </row>
    <row r="491" spans="1:4" x14ac:dyDescent="0.25">
      <c r="A491" t="str">
        <f>T("   940350")</f>
        <v xml:space="preserve">   940350</v>
      </c>
      <c r="B491" t="str">
        <f>T("   Meubles pour chambres à coucher, en bois (sauf sièges)")</f>
        <v xml:space="preserve">   Meubles pour chambres à coucher, en bois (sauf sièges)</v>
      </c>
      <c r="C491">
        <v>1200000</v>
      </c>
      <c r="D491">
        <v>2500</v>
      </c>
    </row>
    <row r="492" spans="1:4" x14ac:dyDescent="0.25">
      <c r="A492" t="str">
        <f>T("GP")</f>
        <v>GP</v>
      </c>
      <c r="B492" t="str">
        <f>T("Guadeloupe")</f>
        <v>Guadeloupe</v>
      </c>
    </row>
    <row r="493" spans="1:4" x14ac:dyDescent="0.25">
      <c r="A493" t="str">
        <f>T("   ZZ_Total_Produit_SH6")</f>
        <v xml:space="preserve">   ZZ_Total_Produit_SH6</v>
      </c>
      <c r="B493" t="str">
        <f>T("   ZZ_Total_Produit_SH6")</f>
        <v xml:space="preserve">   ZZ_Total_Produit_SH6</v>
      </c>
      <c r="C493">
        <v>5490000</v>
      </c>
      <c r="D493">
        <v>7250</v>
      </c>
    </row>
    <row r="494" spans="1:4" x14ac:dyDescent="0.25">
      <c r="A494" t="str">
        <f>T("   620590")</f>
        <v xml:space="preserve">   620590</v>
      </c>
      <c r="B4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94">
        <v>700000</v>
      </c>
      <c r="D494">
        <v>600</v>
      </c>
    </row>
    <row r="495" spans="1:4" x14ac:dyDescent="0.25">
      <c r="A495" t="str">
        <f>T("   732394")</f>
        <v xml:space="preserve">   732394</v>
      </c>
      <c r="B495" t="s">
        <v>72</v>
      </c>
      <c r="C495">
        <v>500000</v>
      </c>
      <c r="D495">
        <v>800</v>
      </c>
    </row>
    <row r="496" spans="1:4" x14ac:dyDescent="0.25">
      <c r="A496" t="str">
        <f>T("   871120")</f>
        <v xml:space="preserve">   871120</v>
      </c>
      <c r="B496" t="str">
        <f>T("   Motocycles à moteur à piston alternatif, cylindrée &gt; 50 cm³ mais &lt;= 250 cm³")</f>
        <v xml:space="preserve">   Motocycles à moteur à piston alternatif, cylindrée &gt; 50 cm³ mais &lt;= 250 cm³</v>
      </c>
      <c r="C496">
        <v>590000</v>
      </c>
      <c r="D496">
        <v>800</v>
      </c>
    </row>
    <row r="497" spans="1:4" x14ac:dyDescent="0.25">
      <c r="A497" t="str">
        <f>T("   940350")</f>
        <v xml:space="preserve">   940350</v>
      </c>
      <c r="B497" t="str">
        <f>T("   Meubles pour chambres à coucher, en bois (sauf sièges)")</f>
        <v xml:space="preserve">   Meubles pour chambres à coucher, en bois (sauf sièges)</v>
      </c>
      <c r="C497">
        <v>1300000</v>
      </c>
      <c r="D497">
        <v>2600</v>
      </c>
    </row>
    <row r="498" spans="1:4" x14ac:dyDescent="0.25">
      <c r="A498" t="str">
        <f>T("   940360")</f>
        <v xml:space="preserve">   940360</v>
      </c>
      <c r="B498" t="str">
        <f>T("   Meubles en bois (autres que pour bureaux, cuisines ou chambres à coucher et autres que sièges)")</f>
        <v xml:space="preserve">   Meubles en bois (autres que pour bureaux, cuisines ou chambres à coucher et autres que sièges)</v>
      </c>
      <c r="C498">
        <v>2400000</v>
      </c>
      <c r="D498">
        <v>2450</v>
      </c>
    </row>
    <row r="499" spans="1:4" x14ac:dyDescent="0.25">
      <c r="A499" t="str">
        <f>T("GQ")</f>
        <v>GQ</v>
      </c>
      <c r="B499" t="str">
        <f>T("Guinée Equatoriale")</f>
        <v>Guinée Equatoriale</v>
      </c>
    </row>
    <row r="500" spans="1:4" x14ac:dyDescent="0.25">
      <c r="A500" t="str">
        <f>T("   ZZ_Total_Produit_SH6")</f>
        <v xml:space="preserve">   ZZ_Total_Produit_SH6</v>
      </c>
      <c r="B500" t="str">
        <f>T("   ZZ_Total_Produit_SH6")</f>
        <v xml:space="preserve">   ZZ_Total_Produit_SH6</v>
      </c>
      <c r="C500">
        <v>123488710</v>
      </c>
      <c r="D500">
        <v>146217</v>
      </c>
    </row>
    <row r="501" spans="1:4" x14ac:dyDescent="0.25">
      <c r="A501" t="str">
        <f>T("   110620")</f>
        <v xml:space="preserve">   110620</v>
      </c>
      <c r="B501" t="str">
        <f>T("   Farines, semoules et poudres de sagou ou des racines ou tubercules du n° 0714")</f>
        <v xml:space="preserve">   Farines, semoules et poudres de sagou ou des racines ou tubercules du n° 0714</v>
      </c>
      <c r="C501">
        <v>150000</v>
      </c>
      <c r="D501">
        <v>1000</v>
      </c>
    </row>
    <row r="502" spans="1:4" x14ac:dyDescent="0.25">
      <c r="A502" t="str">
        <f>T("   300450")</f>
        <v xml:space="preserve">   300450</v>
      </c>
      <c r="B502" t="s">
        <v>28</v>
      </c>
      <c r="C502">
        <v>34318133</v>
      </c>
      <c r="D502">
        <v>5000</v>
      </c>
    </row>
    <row r="503" spans="1:4" x14ac:dyDescent="0.25">
      <c r="A503" t="str">
        <f>T("   300490")</f>
        <v xml:space="preserve">   300490</v>
      </c>
      <c r="B503" t="s">
        <v>29</v>
      </c>
      <c r="C503">
        <v>25999000</v>
      </c>
      <c r="D503">
        <v>2360</v>
      </c>
    </row>
    <row r="504" spans="1:4" x14ac:dyDescent="0.25">
      <c r="A504" t="str">
        <f>T("   330499")</f>
        <v xml:space="preserve">   330499</v>
      </c>
      <c r="B504" t="s">
        <v>33</v>
      </c>
      <c r="C504">
        <v>1110025</v>
      </c>
      <c r="D504">
        <v>1045</v>
      </c>
    </row>
    <row r="505" spans="1:4" x14ac:dyDescent="0.25">
      <c r="A505" t="str">
        <f>T("   401211")</f>
        <v xml:space="preserve">   401211</v>
      </c>
      <c r="B505"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505">
        <v>3000000</v>
      </c>
      <c r="D505">
        <v>8000</v>
      </c>
    </row>
    <row r="506" spans="1:4" x14ac:dyDescent="0.25">
      <c r="A506" t="str">
        <f>T("   660110")</f>
        <v xml:space="preserve">   660110</v>
      </c>
      <c r="B506" t="str">
        <f>T("   Parasols de jardin et articles simil. (sauf tentes de plage)")</f>
        <v xml:space="preserve">   Parasols de jardin et articles simil. (sauf tentes de plage)</v>
      </c>
      <c r="C506">
        <v>370000</v>
      </c>
      <c r="D506">
        <v>40</v>
      </c>
    </row>
    <row r="507" spans="1:4" x14ac:dyDescent="0.25">
      <c r="A507" t="str">
        <f>T("   691200")</f>
        <v xml:space="preserve">   691200</v>
      </c>
      <c r="B507" t="s">
        <v>61</v>
      </c>
      <c r="C507">
        <v>242000</v>
      </c>
      <c r="D507">
        <v>200</v>
      </c>
    </row>
    <row r="508" spans="1:4" x14ac:dyDescent="0.25">
      <c r="A508" t="str">
        <f>T("   700490")</f>
        <v xml:space="preserve">   700490</v>
      </c>
      <c r="B508"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508">
        <v>1655000</v>
      </c>
      <c r="D508">
        <v>480</v>
      </c>
    </row>
    <row r="509" spans="1:4" x14ac:dyDescent="0.25">
      <c r="A509" t="str">
        <f>T("   730820")</f>
        <v xml:space="preserve">   730820</v>
      </c>
      <c r="B509" t="str">
        <f>T("   Tours et pylônes, en fer ou en acier")</f>
        <v xml:space="preserve">   Tours et pylônes, en fer ou en acier</v>
      </c>
      <c r="C509">
        <v>14625000</v>
      </c>
      <c r="D509">
        <v>110000</v>
      </c>
    </row>
    <row r="510" spans="1:4" x14ac:dyDescent="0.25">
      <c r="A510" t="str">
        <f>T("   732112")</f>
        <v xml:space="preserve">   732112</v>
      </c>
      <c r="B510" t="s">
        <v>70</v>
      </c>
      <c r="C510">
        <v>168300</v>
      </c>
      <c r="D510">
        <v>265</v>
      </c>
    </row>
    <row r="511" spans="1:4" x14ac:dyDescent="0.25">
      <c r="A511" t="str">
        <f>T("   761090")</f>
        <v xml:space="preserve">   761090</v>
      </c>
      <c r="B511"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511">
        <v>810000</v>
      </c>
      <c r="D511">
        <v>520</v>
      </c>
    </row>
    <row r="512" spans="1:4" x14ac:dyDescent="0.25">
      <c r="A512" t="str">
        <f>T("   820600")</f>
        <v xml:space="preserve">   820600</v>
      </c>
      <c r="B512" t="str">
        <f>T("   Outils d'au moins deux du n° 8202 à 8205, conditionnés en assortiments pour la vente au détail")</f>
        <v xml:space="preserve">   Outils d'au moins deux du n° 8202 à 8205, conditionnés en assortiments pour la vente au détail</v>
      </c>
      <c r="C512">
        <v>147000</v>
      </c>
      <c r="D512">
        <v>150</v>
      </c>
    </row>
    <row r="513" spans="1:4" x14ac:dyDescent="0.25">
      <c r="A513" t="str">
        <f>T("   830140")</f>
        <v xml:space="preserve">   830140</v>
      </c>
      <c r="B51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513">
        <v>144500</v>
      </c>
      <c r="D513">
        <v>250</v>
      </c>
    </row>
    <row r="514" spans="1:4" x14ac:dyDescent="0.25">
      <c r="A514" t="str">
        <f>T("   840734")</f>
        <v xml:space="preserve">   840734</v>
      </c>
      <c r="B514" t="s">
        <v>78</v>
      </c>
      <c r="C514">
        <v>1370000</v>
      </c>
      <c r="D514">
        <v>260</v>
      </c>
    </row>
    <row r="515" spans="1:4" x14ac:dyDescent="0.25">
      <c r="A515" t="str">
        <f>T("   850211")</f>
        <v xml:space="preserve">   850211</v>
      </c>
      <c r="B515" t="s">
        <v>91</v>
      </c>
      <c r="C515">
        <v>1620000</v>
      </c>
      <c r="D515">
        <v>500</v>
      </c>
    </row>
    <row r="516" spans="1:4" x14ac:dyDescent="0.25">
      <c r="A516" t="str">
        <f>T("   870322")</f>
        <v xml:space="preserve">   870322</v>
      </c>
      <c r="B516" t="s">
        <v>97</v>
      </c>
      <c r="C516">
        <v>10526892</v>
      </c>
      <c r="D516">
        <v>4485</v>
      </c>
    </row>
    <row r="517" spans="1:4" x14ac:dyDescent="0.25">
      <c r="A517" t="str">
        <f>T("   870323")</f>
        <v xml:space="preserve">   870323</v>
      </c>
      <c r="B517" t="s">
        <v>98</v>
      </c>
      <c r="C517">
        <v>11608344</v>
      </c>
      <c r="D517">
        <v>3880</v>
      </c>
    </row>
    <row r="518" spans="1:4" x14ac:dyDescent="0.25">
      <c r="A518" t="str">
        <f>T("   870421")</f>
        <v xml:space="preserve">   870421</v>
      </c>
      <c r="B518" t="s">
        <v>102</v>
      </c>
      <c r="C518">
        <v>4476916</v>
      </c>
      <c r="D518">
        <v>4796</v>
      </c>
    </row>
    <row r="519" spans="1:4" x14ac:dyDescent="0.25">
      <c r="A519" t="str">
        <f>T("   871120")</f>
        <v xml:space="preserve">   871120</v>
      </c>
      <c r="B519" t="str">
        <f>T("   Motocycles à moteur à piston alternatif, cylindrée &gt; 50 cm³ mais &lt;= 250 cm³")</f>
        <v xml:space="preserve">   Motocycles à moteur à piston alternatif, cylindrée &gt; 50 cm³ mais &lt;= 250 cm³</v>
      </c>
      <c r="C519">
        <v>2190000</v>
      </c>
      <c r="D519">
        <v>1196</v>
      </c>
    </row>
    <row r="520" spans="1:4" x14ac:dyDescent="0.25">
      <c r="A520" t="str">
        <f>T("   940380")</f>
        <v xml:space="preserve">   940380</v>
      </c>
      <c r="B520" t="str">
        <f>T("   Meubles en rotin, osier, bambou ou autres matières (sauf métal, bois et matières plastiques)")</f>
        <v xml:space="preserve">   Meubles en rotin, osier, bambou ou autres matières (sauf métal, bois et matières plastiques)</v>
      </c>
      <c r="C520">
        <v>8337600</v>
      </c>
      <c r="D520">
        <v>640</v>
      </c>
    </row>
    <row r="521" spans="1:4" x14ac:dyDescent="0.25">
      <c r="A521" t="str">
        <f>T("   960990")</f>
        <v xml:space="preserve">   960990</v>
      </c>
      <c r="B521" t="str">
        <f>T("   Crayons (sauf crayons à gaine), pastels, fusains, craies à écrire ou à dessiner et craies de tailleurs")</f>
        <v xml:space="preserve">   Crayons (sauf crayons à gaine), pastels, fusains, craies à écrire ou à dessiner et craies de tailleurs</v>
      </c>
      <c r="C521">
        <v>170000</v>
      </c>
      <c r="D521">
        <v>950</v>
      </c>
    </row>
    <row r="522" spans="1:4" x14ac:dyDescent="0.25">
      <c r="A522" t="str">
        <f>T("   970110")</f>
        <v xml:space="preserve">   970110</v>
      </c>
      <c r="B522"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522">
        <v>450000</v>
      </c>
      <c r="D522">
        <v>200</v>
      </c>
    </row>
    <row r="523" spans="1:4" x14ac:dyDescent="0.25">
      <c r="A523" t="str">
        <f>T("GR")</f>
        <v>GR</v>
      </c>
      <c r="B523" t="str">
        <f>T("Grèce")</f>
        <v>Grèce</v>
      </c>
    </row>
    <row r="524" spans="1:4" x14ac:dyDescent="0.25">
      <c r="A524" t="str">
        <f>T("   ZZ_Total_Produit_SH6")</f>
        <v xml:space="preserve">   ZZ_Total_Produit_SH6</v>
      </c>
      <c r="B524" t="str">
        <f>T("   ZZ_Total_Produit_SH6")</f>
        <v xml:space="preserve">   ZZ_Total_Produit_SH6</v>
      </c>
      <c r="C524">
        <v>372242247</v>
      </c>
      <c r="D524">
        <v>266760</v>
      </c>
    </row>
    <row r="525" spans="1:4" x14ac:dyDescent="0.25">
      <c r="A525" t="str">
        <f>T("   520100")</f>
        <v xml:space="preserve">   520100</v>
      </c>
      <c r="B525" t="str">
        <f>T("   COTON, NON-CARDÉ NI PEIGNÉ")</f>
        <v xml:space="preserve">   COTON, NON-CARDÉ NI PEIGNÉ</v>
      </c>
      <c r="C525">
        <v>368773222</v>
      </c>
      <c r="D525">
        <v>210962</v>
      </c>
    </row>
    <row r="526" spans="1:4" x14ac:dyDescent="0.25">
      <c r="A526" t="str">
        <f>T("   720430")</f>
        <v xml:space="preserve">   720430</v>
      </c>
      <c r="B526"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26">
        <v>750000</v>
      </c>
      <c r="D526">
        <v>15000</v>
      </c>
    </row>
    <row r="527" spans="1:4" x14ac:dyDescent="0.25">
      <c r="A527" t="str">
        <f>T("   720449")</f>
        <v xml:space="preserve">   720449</v>
      </c>
      <c r="B527" t="s">
        <v>64</v>
      </c>
      <c r="C527">
        <v>2000000</v>
      </c>
      <c r="D527">
        <v>40000</v>
      </c>
    </row>
    <row r="528" spans="1:4" x14ac:dyDescent="0.25">
      <c r="A528" t="str">
        <f>T("   848590")</f>
        <v xml:space="preserve">   848590</v>
      </c>
      <c r="B528" t="str">
        <f>T("   Parties de machines et appareils du chapitre 84, sans caractéristiques spéciales d'utilisation, n.d.a.")</f>
        <v xml:space="preserve">   Parties de machines et appareils du chapitre 84, sans caractéristiques spéciales d'utilisation, n.d.a.</v>
      </c>
      <c r="C528">
        <v>719025</v>
      </c>
      <c r="D528">
        <v>798</v>
      </c>
    </row>
    <row r="529" spans="1:4" x14ac:dyDescent="0.25">
      <c r="A529" t="str">
        <f>T("GW")</f>
        <v>GW</v>
      </c>
      <c r="B529" t="str">
        <f>T("Guinée-Bissau")</f>
        <v>Guinée-Bissau</v>
      </c>
    </row>
    <row r="530" spans="1:4" x14ac:dyDescent="0.25">
      <c r="A530" t="str">
        <f>T("   ZZ_Total_Produit_SH6")</f>
        <v xml:space="preserve">   ZZ_Total_Produit_SH6</v>
      </c>
      <c r="B530" t="str">
        <f>T("   ZZ_Total_Produit_SH6")</f>
        <v xml:space="preserve">   ZZ_Total_Produit_SH6</v>
      </c>
      <c r="C530">
        <v>27550194</v>
      </c>
      <c r="D530">
        <v>275</v>
      </c>
    </row>
    <row r="531" spans="1:4" x14ac:dyDescent="0.25">
      <c r="A531" t="str">
        <f>T("   120710")</f>
        <v xml:space="preserve">   120710</v>
      </c>
      <c r="B531" t="str">
        <f>T("   NOIX ET AMANDES DE PALMISTES")</f>
        <v xml:space="preserve">   NOIX ET AMANDES DE PALMISTES</v>
      </c>
      <c r="C531">
        <v>27550194</v>
      </c>
      <c r="D531">
        <v>275</v>
      </c>
    </row>
    <row r="532" spans="1:4" x14ac:dyDescent="0.25">
      <c r="A532" t="str">
        <f>T("HK")</f>
        <v>HK</v>
      </c>
      <c r="B532" t="str">
        <f>T("Hong-Kong")</f>
        <v>Hong-Kong</v>
      </c>
    </row>
    <row r="533" spans="1:4" x14ac:dyDescent="0.25">
      <c r="A533" t="str">
        <f>T("   ZZ_Total_Produit_SH6")</f>
        <v xml:space="preserve">   ZZ_Total_Produit_SH6</v>
      </c>
      <c r="B533" t="str">
        <f>T("   ZZ_Total_Produit_SH6")</f>
        <v xml:space="preserve">   ZZ_Total_Produit_SH6</v>
      </c>
      <c r="C533">
        <v>366243971</v>
      </c>
      <c r="D533">
        <v>1042580</v>
      </c>
    </row>
    <row r="534" spans="1:4" x14ac:dyDescent="0.25">
      <c r="A534" t="str">
        <f>T("   080131")</f>
        <v xml:space="preserve">   080131</v>
      </c>
      <c r="B534" t="str">
        <f>T("   Noix de cajou, fraîches ou sèches, en coques")</f>
        <v xml:space="preserve">   Noix de cajou, fraîches ou sèches, en coques</v>
      </c>
      <c r="C534">
        <v>364443971</v>
      </c>
      <c r="D534">
        <v>1030580</v>
      </c>
    </row>
    <row r="535" spans="1:4" x14ac:dyDescent="0.25">
      <c r="A535" t="str">
        <f>T("   120710")</f>
        <v xml:space="preserve">   120710</v>
      </c>
      <c r="B535" t="str">
        <f>T("   NOIX ET AMANDES DE PALMISTES")</f>
        <v xml:space="preserve">   NOIX ET AMANDES DE PALMISTES</v>
      </c>
      <c r="C535">
        <v>1800000</v>
      </c>
      <c r="D535">
        <v>12000</v>
      </c>
    </row>
    <row r="536" spans="1:4" x14ac:dyDescent="0.25">
      <c r="A536" t="str">
        <f>T("ID")</f>
        <v>ID</v>
      </c>
      <c r="B536" t="str">
        <f>T("Indonésie")</f>
        <v>Indonésie</v>
      </c>
    </row>
    <row r="537" spans="1:4" x14ac:dyDescent="0.25">
      <c r="A537" t="str">
        <f>T("   ZZ_Total_Produit_SH6")</f>
        <v xml:space="preserve">   ZZ_Total_Produit_SH6</v>
      </c>
      <c r="B537" t="str">
        <f>T("   ZZ_Total_Produit_SH6")</f>
        <v xml:space="preserve">   ZZ_Total_Produit_SH6</v>
      </c>
      <c r="C537">
        <v>11155740655</v>
      </c>
      <c r="D537">
        <v>17372265</v>
      </c>
    </row>
    <row r="538" spans="1:4" x14ac:dyDescent="0.25">
      <c r="A538" t="str">
        <f>T("   080131")</f>
        <v xml:space="preserve">   080131</v>
      </c>
      <c r="B538" t="str">
        <f>T("   Noix de cajou, fraîches ou sèches, en coques")</f>
        <v xml:space="preserve">   Noix de cajou, fraîches ou sèches, en coques</v>
      </c>
      <c r="C538">
        <v>900000</v>
      </c>
      <c r="D538">
        <v>4500</v>
      </c>
    </row>
    <row r="539" spans="1:4" x14ac:dyDescent="0.25">
      <c r="A539" t="str">
        <f>T("   090420")</f>
        <v xml:space="preserve">   090420</v>
      </c>
      <c r="B539" t="str">
        <f>T("   Piments du genre 'Capsicum' ou du genre 'Pimenta', séchés ou broyés ou pulvérisés")</f>
        <v xml:space="preserve">   Piments du genre 'Capsicum' ou du genre 'Pimenta', séchés ou broyés ou pulvérisés</v>
      </c>
      <c r="C539">
        <v>2500000</v>
      </c>
      <c r="D539">
        <v>16048</v>
      </c>
    </row>
    <row r="540" spans="1:4" x14ac:dyDescent="0.25">
      <c r="A540" t="str">
        <f>T("   440729")</f>
        <v xml:space="preserve">   440729</v>
      </c>
      <c r="B540" t="s">
        <v>47</v>
      </c>
      <c r="C540">
        <v>105394506</v>
      </c>
      <c r="D540">
        <v>450000</v>
      </c>
    </row>
    <row r="541" spans="1:4" x14ac:dyDescent="0.25">
      <c r="A541" t="str">
        <f>T("   440920")</f>
        <v xml:space="preserve">   440920</v>
      </c>
      <c r="B541" t="s">
        <v>50</v>
      </c>
      <c r="C541">
        <v>12692974</v>
      </c>
      <c r="D541">
        <v>50000</v>
      </c>
    </row>
    <row r="542" spans="1:4" x14ac:dyDescent="0.25">
      <c r="A542" t="str">
        <f>T("   520100")</f>
        <v xml:space="preserve">   520100</v>
      </c>
      <c r="B542" t="str">
        <f>T("   COTON, NON-CARDÉ NI PEIGNÉ")</f>
        <v xml:space="preserve">   COTON, NON-CARDÉ NI PEIGNÉ</v>
      </c>
      <c r="C542">
        <v>10850972872</v>
      </c>
      <c r="D542">
        <v>14107236</v>
      </c>
    </row>
    <row r="543" spans="1:4" x14ac:dyDescent="0.25">
      <c r="A543" t="str">
        <f>T("   720430")</f>
        <v xml:space="preserve">   720430</v>
      </c>
      <c r="B54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43">
        <v>17500000</v>
      </c>
      <c r="D543">
        <v>350000</v>
      </c>
    </row>
    <row r="544" spans="1:4" x14ac:dyDescent="0.25">
      <c r="A544" t="str">
        <f>T("   720449")</f>
        <v xml:space="preserve">   720449</v>
      </c>
      <c r="B544" t="s">
        <v>64</v>
      </c>
      <c r="C544">
        <v>101250000</v>
      </c>
      <c r="D544">
        <v>2255000</v>
      </c>
    </row>
    <row r="545" spans="1:4" x14ac:dyDescent="0.25">
      <c r="A545" t="str">
        <f>T("   721790")</f>
        <v xml:space="preserve">   721790</v>
      </c>
      <c r="B545"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45">
        <v>21629723</v>
      </c>
      <c r="D545">
        <v>46843</v>
      </c>
    </row>
    <row r="546" spans="1:4" x14ac:dyDescent="0.25">
      <c r="A546" t="str">
        <f>T("   732620")</f>
        <v xml:space="preserve">   732620</v>
      </c>
      <c r="B546" t="str">
        <f>T("   Ouvrages en fil de fer ou d'acier, n.d.a.")</f>
        <v xml:space="preserve">   Ouvrages en fil de fer ou d'acier, n.d.a.</v>
      </c>
      <c r="C546">
        <v>28555080</v>
      </c>
      <c r="D546">
        <v>46717</v>
      </c>
    </row>
    <row r="547" spans="1:4" x14ac:dyDescent="0.25">
      <c r="A547" t="str">
        <f>T("   760200")</f>
        <v xml:space="preserve">   760200</v>
      </c>
      <c r="B547" t="s">
        <v>74</v>
      </c>
      <c r="C547">
        <v>1000000</v>
      </c>
      <c r="D547">
        <v>20000</v>
      </c>
    </row>
    <row r="548" spans="1:4" x14ac:dyDescent="0.25">
      <c r="A548" t="str">
        <f>T("   848390")</f>
        <v xml:space="preserve">   848390</v>
      </c>
      <c r="B548"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48">
        <v>13345500</v>
      </c>
      <c r="D548">
        <v>25921</v>
      </c>
    </row>
    <row r="549" spans="1:4" x14ac:dyDescent="0.25">
      <c r="A549" t="str">
        <f>T("IE")</f>
        <v>IE</v>
      </c>
      <c r="B549" t="str">
        <f>T("Irlande")</f>
        <v>Irlande</v>
      </c>
    </row>
    <row r="550" spans="1:4" x14ac:dyDescent="0.25">
      <c r="A550" t="str">
        <f>T("   ZZ_Total_Produit_SH6")</f>
        <v xml:space="preserve">   ZZ_Total_Produit_SH6</v>
      </c>
      <c r="B550" t="str">
        <f>T("   ZZ_Total_Produit_SH6")</f>
        <v xml:space="preserve">   ZZ_Total_Produit_SH6</v>
      </c>
      <c r="C550">
        <v>5865000</v>
      </c>
      <c r="D550">
        <v>7900</v>
      </c>
    </row>
    <row r="551" spans="1:4" x14ac:dyDescent="0.25">
      <c r="A551" t="str">
        <f>T("   847439")</f>
        <v xml:space="preserve">   847439</v>
      </c>
      <c r="B55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551">
        <v>5865000</v>
      </c>
      <c r="D551">
        <v>7900</v>
      </c>
    </row>
    <row r="552" spans="1:4" x14ac:dyDescent="0.25">
      <c r="A552" t="str">
        <f>T("IL")</f>
        <v>IL</v>
      </c>
      <c r="B552" t="str">
        <f>T("Israël")</f>
        <v>Israël</v>
      </c>
    </row>
    <row r="553" spans="1:4" x14ac:dyDescent="0.25">
      <c r="A553" t="str">
        <f>T("   ZZ_Total_Produit_SH6")</f>
        <v xml:space="preserve">   ZZ_Total_Produit_SH6</v>
      </c>
      <c r="B553" t="str">
        <f>T("   ZZ_Total_Produit_SH6")</f>
        <v xml:space="preserve">   ZZ_Total_Produit_SH6</v>
      </c>
      <c r="C553">
        <v>1650000</v>
      </c>
      <c r="D553">
        <v>1600</v>
      </c>
    </row>
    <row r="554" spans="1:4" x14ac:dyDescent="0.25">
      <c r="A554" t="str">
        <f>T("   940360")</f>
        <v xml:space="preserve">   940360</v>
      </c>
      <c r="B554" t="str">
        <f>T("   Meubles en bois (autres que pour bureaux, cuisines ou chambres à coucher et autres que sièges)")</f>
        <v xml:space="preserve">   Meubles en bois (autres que pour bureaux, cuisines ou chambres à coucher et autres que sièges)</v>
      </c>
      <c r="C554">
        <v>1650000</v>
      </c>
      <c r="D554">
        <v>1600</v>
      </c>
    </row>
    <row r="555" spans="1:4" x14ac:dyDescent="0.25">
      <c r="A555" t="str">
        <f>T("IN")</f>
        <v>IN</v>
      </c>
      <c r="B555" t="str">
        <f>T("Inde")</f>
        <v>Inde</v>
      </c>
    </row>
    <row r="556" spans="1:4" x14ac:dyDescent="0.25">
      <c r="A556" t="str">
        <f>T("   ZZ_Total_Produit_SH6")</f>
        <v xml:space="preserve">   ZZ_Total_Produit_SH6</v>
      </c>
      <c r="B556" t="str">
        <f>T("   ZZ_Total_Produit_SH6")</f>
        <v xml:space="preserve">   ZZ_Total_Produit_SH6</v>
      </c>
      <c r="C556">
        <v>18037231971</v>
      </c>
      <c r="D556">
        <v>112071408.90000001</v>
      </c>
    </row>
    <row r="557" spans="1:4" x14ac:dyDescent="0.25">
      <c r="A557" t="str">
        <f>T("   080121")</f>
        <v xml:space="preserve">   080121</v>
      </c>
      <c r="B557" t="str">
        <f>T("   Noix du Brésil, fraîches ou sèches, en coques")</f>
        <v xml:space="preserve">   Noix du Brésil, fraîches ou sèches, en coques</v>
      </c>
      <c r="C557">
        <v>21666836</v>
      </c>
      <c r="D557">
        <v>102080</v>
      </c>
    </row>
    <row r="558" spans="1:4" x14ac:dyDescent="0.25">
      <c r="A558" t="str">
        <f>T("   080131")</f>
        <v xml:space="preserve">   080131</v>
      </c>
      <c r="B558" t="str">
        <f>T("   Noix de cajou, fraîches ou sèches, en coques")</f>
        <v xml:space="preserve">   Noix de cajou, fraîches ou sèches, en coques</v>
      </c>
      <c r="C558">
        <v>13631004284</v>
      </c>
      <c r="D558">
        <v>39986921</v>
      </c>
    </row>
    <row r="559" spans="1:4" x14ac:dyDescent="0.25">
      <c r="A559" t="str">
        <f>T("   080211")</f>
        <v xml:space="preserve">   080211</v>
      </c>
      <c r="B559" t="str">
        <f>T("   Amandes, fraîches ou sèches, en coques")</f>
        <v xml:space="preserve">   Amandes, fraîches ou sèches, en coques</v>
      </c>
      <c r="C559">
        <v>36626048</v>
      </c>
      <c r="D559">
        <v>620703</v>
      </c>
    </row>
    <row r="560" spans="1:4" x14ac:dyDescent="0.25">
      <c r="A560" t="str">
        <f>T("   080221")</f>
        <v xml:space="preserve">   080221</v>
      </c>
      <c r="B560" t="str">
        <f>T("   Noisettes 'Corylus spp.', fraîches ou sèches, en coques")</f>
        <v xml:space="preserve">   Noisettes 'Corylus spp.', fraîches ou sèches, en coques</v>
      </c>
      <c r="C560">
        <v>19600000</v>
      </c>
      <c r="D560">
        <v>97600</v>
      </c>
    </row>
    <row r="561" spans="1:4" x14ac:dyDescent="0.25">
      <c r="A561" t="str">
        <f>T("   080290")</f>
        <v xml:space="preserve">   080290</v>
      </c>
      <c r="B561"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561">
        <v>1108326920</v>
      </c>
      <c r="D561">
        <v>7812478</v>
      </c>
    </row>
    <row r="562" spans="1:4" x14ac:dyDescent="0.25">
      <c r="A562" t="str">
        <f>T("   081340")</f>
        <v xml:space="preserve">   081340</v>
      </c>
      <c r="B562"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562">
        <v>7867188</v>
      </c>
      <c r="D562">
        <v>56194</v>
      </c>
    </row>
    <row r="563" spans="1:4" x14ac:dyDescent="0.25">
      <c r="A563" t="str">
        <f>T("   120710")</f>
        <v xml:space="preserve">   120710</v>
      </c>
      <c r="B563" t="str">
        <f>T("   NOIX ET AMANDES DE PALMISTES")</f>
        <v xml:space="preserve">   NOIX ET AMANDES DE PALMISTES</v>
      </c>
      <c r="C563">
        <v>131531615</v>
      </c>
      <c r="D563">
        <v>22374</v>
      </c>
    </row>
    <row r="564" spans="1:4" x14ac:dyDescent="0.25">
      <c r="A564" t="str">
        <f>T("   120799")</f>
        <v xml:space="preserve">   120799</v>
      </c>
      <c r="B564" t="s">
        <v>16</v>
      </c>
      <c r="C564">
        <v>237463560</v>
      </c>
      <c r="D564">
        <v>1098042</v>
      </c>
    </row>
    <row r="565" spans="1:4" x14ac:dyDescent="0.25">
      <c r="A565" t="str">
        <f>T("   151590")</f>
        <v xml:space="preserve">   151590</v>
      </c>
      <c r="B565" t="s">
        <v>17</v>
      </c>
      <c r="C565">
        <v>1658072</v>
      </c>
      <c r="D565">
        <v>69194</v>
      </c>
    </row>
    <row r="566" spans="1:4" x14ac:dyDescent="0.25">
      <c r="A566" t="str">
        <f>T("   230690")</f>
        <v xml:space="preserve">   230690</v>
      </c>
      <c r="B566" t="s">
        <v>24</v>
      </c>
      <c r="C566">
        <v>414925</v>
      </c>
      <c r="D566">
        <v>17690</v>
      </c>
    </row>
    <row r="567" spans="1:4" x14ac:dyDescent="0.25">
      <c r="A567" t="str">
        <f>T("   380840")</f>
        <v xml:space="preserve">   380840</v>
      </c>
      <c r="B56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67">
        <v>11348108</v>
      </c>
      <c r="D567">
        <v>20000</v>
      </c>
    </row>
    <row r="568" spans="1:4" x14ac:dyDescent="0.25">
      <c r="A568" t="str">
        <f>T("   440310")</f>
        <v xml:space="preserve">   440310</v>
      </c>
      <c r="B568" t="s">
        <v>41</v>
      </c>
      <c r="C568">
        <v>37192770</v>
      </c>
      <c r="D568">
        <v>300000</v>
      </c>
    </row>
    <row r="569" spans="1:4" x14ac:dyDescent="0.25">
      <c r="A569" t="str">
        <f>T("   440320")</f>
        <v xml:space="preserve">   440320</v>
      </c>
      <c r="B569" t="s">
        <v>42</v>
      </c>
      <c r="C569">
        <v>36309436</v>
      </c>
      <c r="D569">
        <v>518500</v>
      </c>
    </row>
    <row r="570" spans="1:4" x14ac:dyDescent="0.25">
      <c r="A570" t="str">
        <f>T("   440349")</f>
        <v xml:space="preserve">   440349</v>
      </c>
      <c r="B570" t="s">
        <v>43</v>
      </c>
      <c r="C570">
        <v>105313250</v>
      </c>
      <c r="D570">
        <v>782000</v>
      </c>
    </row>
    <row r="571" spans="1:4" x14ac:dyDescent="0.25">
      <c r="A571" t="str">
        <f>T("   440399")</f>
        <v xml:space="preserve">   440399</v>
      </c>
      <c r="B571" t="s">
        <v>44</v>
      </c>
      <c r="C571">
        <v>364774690</v>
      </c>
      <c r="D571">
        <v>6545000</v>
      </c>
    </row>
    <row r="572" spans="1:4" x14ac:dyDescent="0.25">
      <c r="A572" t="str">
        <f>T("   440410")</f>
        <v xml:space="preserve">   440410</v>
      </c>
      <c r="B572" t="s">
        <v>45</v>
      </c>
      <c r="C572">
        <v>8265060</v>
      </c>
      <c r="D572">
        <v>100000</v>
      </c>
    </row>
    <row r="573" spans="1:4" x14ac:dyDescent="0.25">
      <c r="A573" t="str">
        <f>T("   440500")</f>
        <v xml:space="preserve">   440500</v>
      </c>
      <c r="B573"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573">
        <v>322337340</v>
      </c>
      <c r="D573">
        <v>2440000</v>
      </c>
    </row>
    <row r="574" spans="1:4" x14ac:dyDescent="0.25">
      <c r="A574" t="str">
        <f>T("   440729")</f>
        <v xml:space="preserve">   440729</v>
      </c>
      <c r="B574" t="s">
        <v>47</v>
      </c>
      <c r="C574">
        <v>50238642</v>
      </c>
      <c r="D574">
        <v>386745</v>
      </c>
    </row>
    <row r="575" spans="1:4" x14ac:dyDescent="0.25">
      <c r="A575" t="str">
        <f>T("   440799")</f>
        <v xml:space="preserve">   440799</v>
      </c>
      <c r="B575" t="s">
        <v>48</v>
      </c>
      <c r="C575">
        <v>267734692</v>
      </c>
      <c r="D575">
        <v>8010500</v>
      </c>
    </row>
    <row r="576" spans="1:4" x14ac:dyDescent="0.25">
      <c r="A576" t="str">
        <f>T("   440839")</f>
        <v xml:space="preserve">   440839</v>
      </c>
      <c r="B576" t="s">
        <v>49</v>
      </c>
      <c r="C576">
        <v>254637289</v>
      </c>
      <c r="D576">
        <v>1008000</v>
      </c>
    </row>
    <row r="577" spans="1:4" x14ac:dyDescent="0.25">
      <c r="A577" t="str">
        <f>T("   441021")</f>
        <v xml:space="preserve">   441021</v>
      </c>
      <c r="B577" t="str">
        <f>T("   Panneaux dits 'oriented strand board' et panneaux dits 'waferboard', en bois, bruts ou simplement poncés")</f>
        <v xml:space="preserve">   Panneaux dits 'oriented strand board' et panneaux dits 'waferboard', en bois, bruts ou simplement poncés</v>
      </c>
      <c r="C577">
        <v>95048190</v>
      </c>
      <c r="D577">
        <v>700000</v>
      </c>
    </row>
    <row r="578" spans="1:4" x14ac:dyDescent="0.25">
      <c r="A578" t="str">
        <f>T("   520299")</f>
        <v xml:space="preserve">   520299</v>
      </c>
      <c r="B578" t="str">
        <f>T("   Déchets de coton (à l'excl. des déchets de fils et des effilochés)")</f>
        <v xml:space="preserve">   Déchets de coton (à l'excl. des déchets de fils et des effilochés)</v>
      </c>
      <c r="C578">
        <v>2500000</v>
      </c>
      <c r="D578">
        <v>20000</v>
      </c>
    </row>
    <row r="579" spans="1:4" x14ac:dyDescent="0.25">
      <c r="A579" t="str">
        <f>T("   630510")</f>
        <v xml:space="preserve">   630510</v>
      </c>
      <c r="B579" t="str">
        <f>T("   Sacs et sachets d'emballage de jute ou d'autres fibres textiles libériennes du n° 5303")</f>
        <v xml:space="preserve">   Sacs et sachets d'emballage de jute ou d'autres fibres textiles libériennes du n° 5303</v>
      </c>
      <c r="C579">
        <v>42053856</v>
      </c>
      <c r="D579">
        <v>73927.899999999994</v>
      </c>
    </row>
    <row r="580" spans="1:4" x14ac:dyDescent="0.25">
      <c r="A580" t="str">
        <f>T("   720429")</f>
        <v xml:space="preserve">   720429</v>
      </c>
      <c r="B58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80">
        <v>451066100</v>
      </c>
      <c r="D580">
        <v>18645592</v>
      </c>
    </row>
    <row r="581" spans="1:4" x14ac:dyDescent="0.25">
      <c r="A581" t="str">
        <f>T("   720430")</f>
        <v xml:space="preserve">   720430</v>
      </c>
      <c r="B58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81">
        <v>147600000</v>
      </c>
      <c r="D581">
        <v>6247332</v>
      </c>
    </row>
    <row r="582" spans="1:4" x14ac:dyDescent="0.25">
      <c r="A582" t="str">
        <f>T("   720449")</f>
        <v xml:space="preserve">   720449</v>
      </c>
      <c r="B582" t="s">
        <v>64</v>
      </c>
      <c r="C582">
        <v>611147000</v>
      </c>
      <c r="D582">
        <v>15762940</v>
      </c>
    </row>
    <row r="583" spans="1:4" x14ac:dyDescent="0.25">
      <c r="A583" t="str">
        <f>T("   721499")</f>
        <v xml:space="preserve">   721499</v>
      </c>
      <c r="B583" t="s">
        <v>66</v>
      </c>
      <c r="C583">
        <v>3450000</v>
      </c>
      <c r="D583">
        <v>23000</v>
      </c>
    </row>
    <row r="584" spans="1:4" x14ac:dyDescent="0.25">
      <c r="A584" t="str">
        <f>T("   760200")</f>
        <v xml:space="preserve">   760200</v>
      </c>
      <c r="B584" t="s">
        <v>74</v>
      </c>
      <c r="C584">
        <v>29000000</v>
      </c>
      <c r="D584">
        <v>580000</v>
      </c>
    </row>
    <row r="585" spans="1:4" x14ac:dyDescent="0.25">
      <c r="A585" t="str">
        <f>T("   854810")</f>
        <v xml:space="preserve">   854810</v>
      </c>
      <c r="B585" t="str">
        <f>T("   Déchets et débris de piles, de batteries de piles et d'accumulateurs électriques; piles et batteries de piles électriques hors d'usage et accumulateurs électriques hors d'usage")</f>
        <v xml:space="preserve">   Déchets et débris de piles, de batteries de piles et d'accumulateurs électriques; piles et batteries de piles électriques hors d'usage et accumulateurs électriques hors d'usage</v>
      </c>
      <c r="C585">
        <v>1056100</v>
      </c>
      <c r="D585">
        <v>24596</v>
      </c>
    </row>
    <row r="586" spans="1:4" x14ac:dyDescent="0.25">
      <c r="A586" t="str">
        <f>T("IT")</f>
        <v>IT</v>
      </c>
      <c r="B586" t="str">
        <f>T("Italie")</f>
        <v>Italie</v>
      </c>
    </row>
    <row r="587" spans="1:4" x14ac:dyDescent="0.25">
      <c r="A587" t="str">
        <f>T("   ZZ_Total_Produit_SH6")</f>
        <v xml:space="preserve">   ZZ_Total_Produit_SH6</v>
      </c>
      <c r="B587" t="str">
        <f>T("   ZZ_Total_Produit_SH6")</f>
        <v xml:space="preserve">   ZZ_Total_Produit_SH6</v>
      </c>
      <c r="C587">
        <v>1983790305</v>
      </c>
      <c r="D587">
        <v>4522524</v>
      </c>
    </row>
    <row r="588" spans="1:4" x14ac:dyDescent="0.25">
      <c r="A588" t="str">
        <f>T("   040510")</f>
        <v xml:space="preserve">   040510</v>
      </c>
      <c r="B588" t="str">
        <f>T("   Beurre (sauf beurre déshydraté et ghee)")</f>
        <v xml:space="preserve">   Beurre (sauf beurre déshydraté et ghee)</v>
      </c>
      <c r="C588">
        <v>1815480</v>
      </c>
      <c r="D588">
        <v>120</v>
      </c>
    </row>
    <row r="589" spans="1:4" x14ac:dyDescent="0.25">
      <c r="A589" t="str">
        <f>T("   151110")</f>
        <v xml:space="preserve">   151110</v>
      </c>
      <c r="B589" t="str">
        <f>T("   Huile de palme, brute")</f>
        <v xml:space="preserve">   Huile de palme, brute</v>
      </c>
      <c r="C589">
        <v>257710309</v>
      </c>
      <c r="D589">
        <v>394380</v>
      </c>
    </row>
    <row r="590" spans="1:4" x14ac:dyDescent="0.25">
      <c r="A590" t="str">
        <f>T("   170191")</f>
        <v xml:space="preserve">   170191</v>
      </c>
      <c r="B590" t="str">
        <f>T("   Sucres de canne ou de betterave, à l'état solide, additionnés d'aromatisants ou de colorants")</f>
        <v xml:space="preserve">   Sucres de canne ou de betterave, à l'état solide, additionnés d'aromatisants ou de colorants</v>
      </c>
      <c r="C590">
        <v>372827052</v>
      </c>
      <c r="D590">
        <v>1005000</v>
      </c>
    </row>
    <row r="591" spans="1:4" x14ac:dyDescent="0.25">
      <c r="A591" t="str">
        <f>T("   170199")</f>
        <v xml:space="preserve">   170199</v>
      </c>
      <c r="B591"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591">
        <v>719025250</v>
      </c>
      <c r="D591">
        <v>2000000</v>
      </c>
    </row>
    <row r="592" spans="1:4" x14ac:dyDescent="0.25">
      <c r="A592" t="str">
        <f>T("   440920")</f>
        <v xml:space="preserve">   440920</v>
      </c>
      <c r="B592" t="s">
        <v>50</v>
      </c>
      <c r="C592">
        <v>9183440</v>
      </c>
      <c r="D592">
        <v>20000</v>
      </c>
    </row>
    <row r="593" spans="1:4" x14ac:dyDescent="0.25">
      <c r="A593" t="str">
        <f>T("   520100")</f>
        <v xml:space="preserve">   520100</v>
      </c>
      <c r="B593" t="str">
        <f>T("   COTON, NON-CARDÉ NI PEIGNÉ")</f>
        <v xml:space="preserve">   COTON, NON-CARDÉ NI PEIGNÉ</v>
      </c>
      <c r="C593">
        <v>373824709</v>
      </c>
      <c r="D593">
        <v>511254</v>
      </c>
    </row>
    <row r="594" spans="1:4" x14ac:dyDescent="0.25">
      <c r="A594" t="str">
        <f>T("   720449")</f>
        <v xml:space="preserve">   720449</v>
      </c>
      <c r="B594" t="s">
        <v>64</v>
      </c>
      <c r="C594">
        <v>25500000</v>
      </c>
      <c r="D594">
        <v>510000</v>
      </c>
    </row>
    <row r="595" spans="1:4" x14ac:dyDescent="0.25">
      <c r="A595" t="str">
        <f>T("   732620")</f>
        <v xml:space="preserve">   732620</v>
      </c>
      <c r="B595" t="str">
        <f>T("   Ouvrages en fil de fer ou d'acier, n.d.a.")</f>
        <v xml:space="preserve">   Ouvrages en fil de fer ou d'acier, n.d.a.</v>
      </c>
      <c r="C595">
        <v>808791</v>
      </c>
      <c r="D595">
        <v>948</v>
      </c>
    </row>
    <row r="596" spans="1:4" x14ac:dyDescent="0.25">
      <c r="A596" t="str">
        <f>T("   842630")</f>
        <v xml:space="preserve">   842630</v>
      </c>
      <c r="B596" t="str">
        <f>T("   Grues sur portiques")</f>
        <v xml:space="preserve">   Grues sur portiques</v>
      </c>
      <c r="C596">
        <v>129449114</v>
      </c>
      <c r="D596">
        <v>41222</v>
      </c>
    </row>
    <row r="597" spans="1:4" x14ac:dyDescent="0.25">
      <c r="A597" t="str">
        <f>T("   870422")</f>
        <v xml:space="preserve">   870422</v>
      </c>
      <c r="B597" t="s">
        <v>103</v>
      </c>
      <c r="C597">
        <v>93646160</v>
      </c>
      <c r="D597">
        <v>39600</v>
      </c>
    </row>
    <row r="598" spans="1:4" x14ac:dyDescent="0.25">
      <c r="A598" t="str">
        <f>T("JP")</f>
        <v>JP</v>
      </c>
      <c r="B598" t="str">
        <f>T("Japon")</f>
        <v>Japon</v>
      </c>
    </row>
    <row r="599" spans="1:4" x14ac:dyDescent="0.25">
      <c r="A599" t="str">
        <f>T("   ZZ_Total_Produit_SH6")</f>
        <v xml:space="preserve">   ZZ_Total_Produit_SH6</v>
      </c>
      <c r="B599" t="str">
        <f>T("   ZZ_Total_Produit_SH6")</f>
        <v xml:space="preserve">   ZZ_Total_Produit_SH6</v>
      </c>
      <c r="C599">
        <v>14917868</v>
      </c>
      <c r="D599">
        <v>5100</v>
      </c>
    </row>
    <row r="600" spans="1:4" x14ac:dyDescent="0.25">
      <c r="A600" t="str">
        <f>T("   151790")</f>
        <v xml:space="preserve">   151790</v>
      </c>
      <c r="B600" t="s">
        <v>18</v>
      </c>
      <c r="C600">
        <v>480000</v>
      </c>
      <c r="D600">
        <v>400</v>
      </c>
    </row>
    <row r="601" spans="1:4" x14ac:dyDescent="0.25">
      <c r="A601" t="str">
        <f>T("   870323")</f>
        <v xml:space="preserve">   870323</v>
      </c>
      <c r="B601" t="s">
        <v>98</v>
      </c>
      <c r="C601">
        <v>5306006</v>
      </c>
      <c r="D601">
        <v>1400</v>
      </c>
    </row>
    <row r="602" spans="1:4" x14ac:dyDescent="0.25">
      <c r="A602" t="str">
        <f>T("   870333")</f>
        <v xml:space="preserve">   870333</v>
      </c>
      <c r="B602" t="s">
        <v>101</v>
      </c>
      <c r="C602">
        <v>9131862</v>
      </c>
      <c r="D602">
        <v>3300</v>
      </c>
    </row>
    <row r="603" spans="1:4" x14ac:dyDescent="0.25">
      <c r="A603" t="str">
        <f>T("KR")</f>
        <v>KR</v>
      </c>
      <c r="B603" t="str">
        <f>T("Corée, République de")</f>
        <v>Corée, République de</v>
      </c>
    </row>
    <row r="604" spans="1:4" x14ac:dyDescent="0.25">
      <c r="A604" t="str">
        <f>T("   ZZ_Total_Produit_SH6")</f>
        <v xml:space="preserve">   ZZ_Total_Produit_SH6</v>
      </c>
      <c r="B604" t="str">
        <f>T("   ZZ_Total_Produit_SH6")</f>
        <v xml:space="preserve">   ZZ_Total_Produit_SH6</v>
      </c>
      <c r="C604">
        <v>25250000</v>
      </c>
      <c r="D604">
        <v>535000</v>
      </c>
    </row>
    <row r="605" spans="1:4" x14ac:dyDescent="0.25">
      <c r="A605" t="str">
        <f>T("   720449")</f>
        <v xml:space="preserve">   720449</v>
      </c>
      <c r="B605" t="s">
        <v>64</v>
      </c>
      <c r="C605">
        <v>25250000</v>
      </c>
      <c r="D605">
        <v>535000</v>
      </c>
    </row>
    <row r="606" spans="1:4" x14ac:dyDescent="0.25">
      <c r="A606" t="str">
        <f>T("LB")</f>
        <v>LB</v>
      </c>
      <c r="B606" t="str">
        <f>T("Liban")</f>
        <v>Liban</v>
      </c>
    </row>
    <row r="607" spans="1:4" x14ac:dyDescent="0.25">
      <c r="A607" t="str">
        <f>T("   ZZ_Total_Produit_SH6")</f>
        <v xml:space="preserve">   ZZ_Total_Produit_SH6</v>
      </c>
      <c r="B607" t="str">
        <f>T("   ZZ_Total_Produit_SH6")</f>
        <v xml:space="preserve">   ZZ_Total_Produit_SH6</v>
      </c>
      <c r="C607">
        <v>18677770</v>
      </c>
      <c r="D607">
        <v>48817</v>
      </c>
    </row>
    <row r="608" spans="1:4" x14ac:dyDescent="0.25">
      <c r="A608" t="str">
        <f>T("   420219")</f>
        <v xml:space="preserve">   420219</v>
      </c>
      <c r="B608" t="s">
        <v>38</v>
      </c>
      <c r="C608">
        <v>1567475</v>
      </c>
      <c r="D608">
        <v>500</v>
      </c>
    </row>
    <row r="609" spans="1:4" x14ac:dyDescent="0.25">
      <c r="A609" t="str">
        <f>T("   670290")</f>
        <v xml:space="preserve">   670290</v>
      </c>
      <c r="B609"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609">
        <v>266039</v>
      </c>
      <c r="D609">
        <v>1000</v>
      </c>
    </row>
    <row r="610" spans="1:4" x14ac:dyDescent="0.25">
      <c r="A610" t="str">
        <f>T("   732690")</f>
        <v xml:space="preserve">   732690</v>
      </c>
      <c r="B61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10">
        <v>2937457</v>
      </c>
      <c r="D610">
        <v>5000</v>
      </c>
    </row>
    <row r="611" spans="1:4" x14ac:dyDescent="0.25">
      <c r="A611" t="str">
        <f>T("   841829")</f>
        <v xml:space="preserve">   841829</v>
      </c>
      <c r="B611" t="str">
        <f>T("   Réfrigérateurs ménagers à absorption, non-électriques")</f>
        <v xml:space="preserve">   Réfrigérateurs ménagers à absorption, non-électriques</v>
      </c>
      <c r="C611">
        <v>1500366</v>
      </c>
      <c r="D611">
        <v>1000</v>
      </c>
    </row>
    <row r="612" spans="1:4" x14ac:dyDescent="0.25">
      <c r="A612" t="str">
        <f>T("   843069")</f>
        <v xml:space="preserve">   843069</v>
      </c>
      <c r="B612"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612">
        <v>6354743</v>
      </c>
      <c r="D612">
        <v>10000</v>
      </c>
    </row>
    <row r="613" spans="1:4" x14ac:dyDescent="0.25">
      <c r="A613" t="str">
        <f>T("   854590")</f>
        <v xml:space="preserve">   854590</v>
      </c>
      <c r="B613" t="str">
        <f>T("   Articles en graphite ou en autre carbone, pour usages électriques (autres qu'électrodes et balais)")</f>
        <v xml:space="preserve">   Articles en graphite ou en autre carbone, pour usages électriques (autres qu'électrodes et balais)</v>
      </c>
      <c r="C613">
        <v>550000</v>
      </c>
      <c r="D613">
        <v>22000</v>
      </c>
    </row>
    <row r="614" spans="1:4" x14ac:dyDescent="0.25">
      <c r="A614" t="str">
        <f>T("   871190")</f>
        <v xml:space="preserve">   871190</v>
      </c>
      <c r="B614" t="str">
        <f>T("   Side-cars")</f>
        <v xml:space="preserve">   Side-cars</v>
      </c>
      <c r="C614">
        <v>500000</v>
      </c>
      <c r="D614">
        <v>1</v>
      </c>
    </row>
    <row r="615" spans="1:4" x14ac:dyDescent="0.25">
      <c r="A615" t="str">
        <f>T("   871690")</f>
        <v xml:space="preserve">   871690</v>
      </c>
      <c r="B615" t="str">
        <f>T("   PARTIES DE REMORQUES, SEMI-REMORQUES ET AUTRES VÉHICULES NON-AUTOMOBILES, N.D.A.")</f>
        <v xml:space="preserve">   PARTIES DE REMORQUES, SEMI-REMORQUES ET AUTRES VÉHICULES NON-AUTOMOBILES, N.D.A.</v>
      </c>
      <c r="C615">
        <v>2000000</v>
      </c>
      <c r="D615">
        <v>8000</v>
      </c>
    </row>
    <row r="616" spans="1:4" x14ac:dyDescent="0.25">
      <c r="A616" t="str">
        <f>T("   901590")</f>
        <v xml:space="preserve">   901590</v>
      </c>
      <c r="B616"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616">
        <v>3001690</v>
      </c>
      <c r="D616">
        <v>1316</v>
      </c>
    </row>
    <row r="617" spans="1:4" x14ac:dyDescent="0.25">
      <c r="A617" t="str">
        <f>T("LR")</f>
        <v>LR</v>
      </c>
      <c r="B617" t="str">
        <f>T("Libéria")</f>
        <v>Libéria</v>
      </c>
    </row>
    <row r="618" spans="1:4" x14ac:dyDescent="0.25">
      <c r="A618" t="str">
        <f>T("   ZZ_Total_Produit_SH6")</f>
        <v xml:space="preserve">   ZZ_Total_Produit_SH6</v>
      </c>
      <c r="B618" t="str">
        <f>T("   ZZ_Total_Produit_SH6")</f>
        <v xml:space="preserve">   ZZ_Total_Produit_SH6</v>
      </c>
      <c r="C618">
        <v>493477479</v>
      </c>
      <c r="D618">
        <v>8947</v>
      </c>
    </row>
    <row r="619" spans="1:4" x14ac:dyDescent="0.25">
      <c r="A619" t="str">
        <f>T("   120710")</f>
        <v xml:space="preserve">   120710</v>
      </c>
      <c r="B619" t="str">
        <f>T("   NOIX ET AMANDES DE PALMISTES")</f>
        <v xml:space="preserve">   NOIX ET AMANDES DE PALMISTES</v>
      </c>
      <c r="C619">
        <v>486982479</v>
      </c>
      <c r="D619">
        <v>4165</v>
      </c>
    </row>
    <row r="620" spans="1:4" x14ac:dyDescent="0.25">
      <c r="A620" t="str">
        <f>T("   620590")</f>
        <v xml:space="preserve">   620590</v>
      </c>
      <c r="B62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20">
        <v>600000</v>
      </c>
      <c r="D620">
        <v>800</v>
      </c>
    </row>
    <row r="621" spans="1:4" x14ac:dyDescent="0.25">
      <c r="A621" t="str">
        <f>T("   732394")</f>
        <v xml:space="preserve">   732394</v>
      </c>
      <c r="B621" t="s">
        <v>72</v>
      </c>
      <c r="C621">
        <v>400000</v>
      </c>
      <c r="D621">
        <v>700</v>
      </c>
    </row>
    <row r="622" spans="1:4" x14ac:dyDescent="0.25">
      <c r="A622" t="str">
        <f>T("   843629")</f>
        <v xml:space="preserve">   843629</v>
      </c>
      <c r="B622"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622">
        <v>4495000</v>
      </c>
      <c r="D622">
        <v>1782</v>
      </c>
    </row>
    <row r="623" spans="1:4" x14ac:dyDescent="0.25">
      <c r="A623" t="str">
        <f>T("   940350")</f>
        <v xml:space="preserve">   940350</v>
      </c>
      <c r="B623" t="str">
        <f>T("   Meubles pour chambres à coucher, en bois (sauf sièges)")</f>
        <v xml:space="preserve">   Meubles pour chambres à coucher, en bois (sauf sièges)</v>
      </c>
      <c r="C623">
        <v>1000000</v>
      </c>
      <c r="D623">
        <v>1500</v>
      </c>
    </row>
    <row r="624" spans="1:4" x14ac:dyDescent="0.25">
      <c r="A624" t="str">
        <f>T("LY")</f>
        <v>LY</v>
      </c>
      <c r="B624" t="str">
        <f>T("Libyenne, Jamahiriya Arabe")</f>
        <v>Libyenne, Jamahiriya Arabe</v>
      </c>
    </row>
    <row r="625" spans="1:4" x14ac:dyDescent="0.25">
      <c r="A625" t="str">
        <f>T("   ZZ_Total_Produit_SH6")</f>
        <v xml:space="preserve">   ZZ_Total_Produit_SH6</v>
      </c>
      <c r="B625" t="str">
        <f>T("   ZZ_Total_Produit_SH6")</f>
        <v xml:space="preserve">   ZZ_Total_Produit_SH6</v>
      </c>
      <c r="C625">
        <v>298432020</v>
      </c>
      <c r="D625">
        <v>274216</v>
      </c>
    </row>
    <row r="626" spans="1:4" x14ac:dyDescent="0.25">
      <c r="A626" t="str">
        <f>T("   200980")</f>
        <v xml:space="preserve">   200980</v>
      </c>
      <c r="B62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26">
        <v>2126013</v>
      </c>
      <c r="D626">
        <v>10752</v>
      </c>
    </row>
    <row r="627" spans="1:4" x14ac:dyDescent="0.25">
      <c r="A627" t="str">
        <f>T("   240220")</f>
        <v xml:space="preserve">   240220</v>
      </c>
      <c r="B627" t="str">
        <f>T("   Cigarettes contenant du tabac")</f>
        <v xml:space="preserve">   Cigarettes contenant du tabac</v>
      </c>
      <c r="C627">
        <v>293006007</v>
      </c>
      <c r="D627">
        <v>262134</v>
      </c>
    </row>
    <row r="628" spans="1:4" x14ac:dyDescent="0.25">
      <c r="A628" t="str">
        <f>T("   870323")</f>
        <v xml:space="preserve">   870323</v>
      </c>
      <c r="B628" t="s">
        <v>98</v>
      </c>
      <c r="C628">
        <v>3300000</v>
      </c>
      <c r="D628">
        <v>1330</v>
      </c>
    </row>
    <row r="629" spans="1:4" x14ac:dyDescent="0.25">
      <c r="A629" t="str">
        <f>T("MA")</f>
        <v>MA</v>
      </c>
      <c r="B629" t="str">
        <f>T("Maroc")</f>
        <v>Maroc</v>
      </c>
    </row>
    <row r="630" spans="1:4" x14ac:dyDescent="0.25">
      <c r="A630" t="str">
        <f>T("   ZZ_Total_Produit_SH6")</f>
        <v xml:space="preserve">   ZZ_Total_Produit_SH6</v>
      </c>
      <c r="B630" t="str">
        <f>T("   ZZ_Total_Produit_SH6")</f>
        <v xml:space="preserve">   ZZ_Total_Produit_SH6</v>
      </c>
      <c r="C630">
        <v>659197400</v>
      </c>
      <c r="D630">
        <v>406702</v>
      </c>
    </row>
    <row r="631" spans="1:4" x14ac:dyDescent="0.25">
      <c r="A631" t="str">
        <f>T("   080131")</f>
        <v xml:space="preserve">   080131</v>
      </c>
      <c r="B631" t="str">
        <f>T("   Noix de cajou, fraîches ou sèches, en coques")</f>
        <v xml:space="preserve">   Noix de cajou, fraîches ou sèches, en coques</v>
      </c>
      <c r="C631">
        <v>14625927</v>
      </c>
      <c r="D631">
        <v>51086</v>
      </c>
    </row>
    <row r="632" spans="1:4" x14ac:dyDescent="0.25">
      <c r="A632" t="str">
        <f>T("   080430")</f>
        <v xml:space="preserve">   080430</v>
      </c>
      <c r="B632" t="str">
        <f>T("   Ananas, frais ou secs")</f>
        <v xml:space="preserve">   Ananas, frais ou secs</v>
      </c>
      <c r="C632">
        <v>655960</v>
      </c>
      <c r="D632">
        <v>2450</v>
      </c>
    </row>
    <row r="633" spans="1:4" x14ac:dyDescent="0.25">
      <c r="A633" t="str">
        <f>T("   091010")</f>
        <v xml:space="preserve">   091010</v>
      </c>
      <c r="B633" t="str">
        <f>T("   Gingembre")</f>
        <v xml:space="preserve">   Gingembre</v>
      </c>
      <c r="C633">
        <v>16582300</v>
      </c>
      <c r="D633">
        <v>66000</v>
      </c>
    </row>
    <row r="634" spans="1:4" x14ac:dyDescent="0.25">
      <c r="A634" t="str">
        <f>T("   401120")</f>
        <v xml:space="preserve">   401120</v>
      </c>
      <c r="B63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34">
        <v>22000000</v>
      </c>
      <c r="D634">
        <v>4950</v>
      </c>
    </row>
    <row r="635" spans="1:4" x14ac:dyDescent="0.25">
      <c r="A635" t="str">
        <f>T("   620520")</f>
        <v xml:space="preserve">   620520</v>
      </c>
      <c r="B635"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635">
        <v>600000</v>
      </c>
      <c r="D635">
        <v>7000</v>
      </c>
    </row>
    <row r="636" spans="1:4" x14ac:dyDescent="0.25">
      <c r="A636" t="str">
        <f>T("   620590")</f>
        <v xml:space="preserve">   620590</v>
      </c>
      <c r="B63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36">
        <v>1100000</v>
      </c>
      <c r="D636">
        <v>1350</v>
      </c>
    </row>
    <row r="637" spans="1:4" x14ac:dyDescent="0.25">
      <c r="A637" t="str">
        <f>T("   732394")</f>
        <v xml:space="preserve">   732394</v>
      </c>
      <c r="B637" t="s">
        <v>72</v>
      </c>
      <c r="C637">
        <v>1350000</v>
      </c>
      <c r="D637">
        <v>6500</v>
      </c>
    </row>
    <row r="638" spans="1:4" x14ac:dyDescent="0.25">
      <c r="A638" t="str">
        <f>T("   842911")</f>
        <v xml:space="preserve">   842911</v>
      </c>
      <c r="B638" t="str">
        <f>T("   Bouteurs 'bulldozers' et bouteurs biais 'angledozers', à chenilles")</f>
        <v xml:space="preserve">   Bouteurs 'bulldozers' et bouteurs biais 'angledozers', à chenilles</v>
      </c>
      <c r="C638">
        <v>150000000</v>
      </c>
      <c r="D638">
        <v>38126</v>
      </c>
    </row>
    <row r="639" spans="1:4" x14ac:dyDescent="0.25">
      <c r="A639" t="str">
        <f>T("   842940")</f>
        <v xml:space="preserve">   842940</v>
      </c>
      <c r="B639" t="str">
        <f>T("   Rouleaux compresseurs et autres compacteuses, autopropulsés")</f>
        <v xml:space="preserve">   Rouleaux compresseurs et autres compacteuses, autopropulsés</v>
      </c>
      <c r="C639">
        <v>105000000</v>
      </c>
      <c r="D639">
        <v>44831</v>
      </c>
    </row>
    <row r="640" spans="1:4" x14ac:dyDescent="0.25">
      <c r="A640" t="str">
        <f>T("   842959")</f>
        <v xml:space="preserve">   842959</v>
      </c>
      <c r="B640"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40">
        <v>100000000</v>
      </c>
      <c r="D640">
        <v>70000</v>
      </c>
    </row>
    <row r="641" spans="1:4" x14ac:dyDescent="0.25">
      <c r="A641" t="str">
        <f>T("   843141")</f>
        <v xml:space="preserve">   843141</v>
      </c>
      <c r="B641" t="str">
        <f>T("   Godets, bennes, bennes-preneuses, pelles, grappins et pinces pour machines et appareils du n° 8426, 8429 ou 8430")</f>
        <v xml:space="preserve">   Godets, bennes, bennes-preneuses, pelles, grappins et pinces pour machines et appareils du n° 8426, 8429 ou 8430</v>
      </c>
      <c r="C641">
        <v>22000000</v>
      </c>
      <c r="D641">
        <v>3259</v>
      </c>
    </row>
    <row r="642" spans="1:4" x14ac:dyDescent="0.25">
      <c r="A642" t="str">
        <f>T("   870322")</f>
        <v xml:space="preserve">   870322</v>
      </c>
      <c r="B642" t="s">
        <v>97</v>
      </c>
      <c r="C642">
        <v>14000000</v>
      </c>
      <c r="D642">
        <v>1065</v>
      </c>
    </row>
    <row r="643" spans="1:4" x14ac:dyDescent="0.25">
      <c r="A643" t="str">
        <f>T("   870410")</f>
        <v xml:space="preserve">   870410</v>
      </c>
      <c r="B643" t="str">
        <f>T("   Tombereaux automoteurs utilisés en dehors du réseau routier")</f>
        <v xml:space="preserve">   Tombereaux automoteurs utilisés en dehors du réseau routier</v>
      </c>
      <c r="C643">
        <v>207333213</v>
      </c>
      <c r="D643">
        <v>97500</v>
      </c>
    </row>
    <row r="644" spans="1:4" x14ac:dyDescent="0.25">
      <c r="A644" t="str">
        <f>T("   940350")</f>
        <v xml:space="preserve">   940350</v>
      </c>
      <c r="B644" t="str">
        <f>T("   Meubles pour chambres à coucher, en bois (sauf sièges)")</f>
        <v xml:space="preserve">   Meubles pour chambres à coucher, en bois (sauf sièges)</v>
      </c>
      <c r="C644">
        <v>2100000</v>
      </c>
      <c r="D644">
        <v>2700</v>
      </c>
    </row>
    <row r="645" spans="1:4" x14ac:dyDescent="0.25">
      <c r="A645" t="str">
        <f>T("   940360")</f>
        <v xml:space="preserve">   940360</v>
      </c>
      <c r="B645" t="str">
        <f>T("   Meubles en bois (autres que pour bureaux, cuisines ou chambres à coucher et autres que sièges)")</f>
        <v xml:space="preserve">   Meubles en bois (autres que pour bureaux, cuisines ou chambres à coucher et autres que sièges)</v>
      </c>
      <c r="C645">
        <v>1600000</v>
      </c>
      <c r="D645">
        <v>9435</v>
      </c>
    </row>
    <row r="646" spans="1:4" x14ac:dyDescent="0.25">
      <c r="A646" t="str">
        <f>T("   950299")</f>
        <v xml:space="preserve">   950299</v>
      </c>
      <c r="B646" t="str">
        <f>T("   Parties et accessoires pour poupées représentant uniquement l'être humain, n.d.a.")</f>
        <v xml:space="preserve">   Parties et accessoires pour poupées représentant uniquement l'être humain, n.d.a.</v>
      </c>
      <c r="C646">
        <v>250000</v>
      </c>
      <c r="D646">
        <v>450</v>
      </c>
    </row>
    <row r="647" spans="1:4" x14ac:dyDescent="0.25">
      <c r="A647" t="str">
        <f>T("MG")</f>
        <v>MG</v>
      </c>
      <c r="B647" t="str">
        <f>T("Madagascar")</f>
        <v>Madagascar</v>
      </c>
    </row>
    <row r="648" spans="1:4" x14ac:dyDescent="0.25">
      <c r="A648" t="str">
        <f>T("   ZZ_Total_Produit_SH6")</f>
        <v xml:space="preserve">   ZZ_Total_Produit_SH6</v>
      </c>
      <c r="B648" t="str">
        <f>T("   ZZ_Total_Produit_SH6")</f>
        <v xml:space="preserve">   ZZ_Total_Produit_SH6</v>
      </c>
      <c r="C648">
        <v>108439173</v>
      </c>
      <c r="D648">
        <v>33025</v>
      </c>
    </row>
    <row r="649" spans="1:4" x14ac:dyDescent="0.25">
      <c r="A649" t="str">
        <f>T("   120710")</f>
        <v xml:space="preserve">   120710</v>
      </c>
      <c r="B649" t="str">
        <f>T("   NOIX ET AMANDES DE PALMISTES")</f>
        <v xml:space="preserve">   NOIX ET AMANDES DE PALMISTES</v>
      </c>
      <c r="C649">
        <v>43293162</v>
      </c>
      <c r="D649">
        <v>525</v>
      </c>
    </row>
    <row r="650" spans="1:4" x14ac:dyDescent="0.25">
      <c r="A650" t="str">
        <f>T("   870410")</f>
        <v xml:space="preserve">   870410</v>
      </c>
      <c r="B650" t="str">
        <f>T("   Tombereaux automoteurs utilisés en dehors du réseau routier")</f>
        <v xml:space="preserve">   Tombereaux automoteurs utilisés en dehors du réseau routier</v>
      </c>
      <c r="C650">
        <v>65146011</v>
      </c>
      <c r="D650">
        <v>32500</v>
      </c>
    </row>
    <row r="651" spans="1:4" x14ac:dyDescent="0.25">
      <c r="A651" t="str">
        <f>T("ML")</f>
        <v>ML</v>
      </c>
      <c r="B651" t="str">
        <f>T("Mali")</f>
        <v>Mali</v>
      </c>
    </row>
    <row r="652" spans="1:4" x14ac:dyDescent="0.25">
      <c r="A652" t="str">
        <f>T("   ZZ_Total_Produit_SH6")</f>
        <v xml:space="preserve">   ZZ_Total_Produit_SH6</v>
      </c>
      <c r="B652" t="str">
        <f>T("   ZZ_Total_Produit_SH6")</f>
        <v xml:space="preserve">   ZZ_Total_Produit_SH6</v>
      </c>
      <c r="C652">
        <v>711462681</v>
      </c>
      <c r="D652">
        <v>480997.25</v>
      </c>
    </row>
    <row r="653" spans="1:4" x14ac:dyDescent="0.25">
      <c r="A653" t="str">
        <f>T("   200949")</f>
        <v xml:space="preserve">   200949</v>
      </c>
      <c r="B653"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653">
        <v>19400000</v>
      </c>
      <c r="D653">
        <v>59500</v>
      </c>
    </row>
    <row r="654" spans="1:4" x14ac:dyDescent="0.25">
      <c r="A654" t="str">
        <f>T("   360500")</f>
        <v xml:space="preserve">   360500</v>
      </c>
      <c r="B654" t="str">
        <f>T("   Allumettes (autres que les articles de pyrotechnie du n° 3604)")</f>
        <v xml:space="preserve">   Allumettes (autres que les articles de pyrotechnie du n° 3604)</v>
      </c>
      <c r="C654">
        <v>3000000</v>
      </c>
      <c r="D654">
        <v>13376</v>
      </c>
    </row>
    <row r="655" spans="1:4" x14ac:dyDescent="0.25">
      <c r="A655" t="str">
        <f>T("   481910")</f>
        <v xml:space="preserve">   481910</v>
      </c>
      <c r="B655" t="str">
        <f>T("   Boîtes et caisses en papier ou en carton ondulé")</f>
        <v xml:space="preserve">   Boîtes et caisses en papier ou en carton ondulé</v>
      </c>
      <c r="C655">
        <v>1361313</v>
      </c>
      <c r="D655">
        <v>800</v>
      </c>
    </row>
    <row r="656" spans="1:4" x14ac:dyDescent="0.25">
      <c r="A656" t="str">
        <f>T("   490700")</f>
        <v xml:space="preserve">   490700</v>
      </c>
      <c r="B656" t="s">
        <v>52</v>
      </c>
      <c r="C656">
        <v>7400000</v>
      </c>
      <c r="D656">
        <v>3406</v>
      </c>
    </row>
    <row r="657" spans="1:4" x14ac:dyDescent="0.25">
      <c r="A657" t="str">
        <f>T("   520812")</f>
        <v xml:space="preserve">   520812</v>
      </c>
      <c r="B657" t="str">
        <f>T("   Tissus de coton, écrus, à armure toile, contenant &gt;= 85% en poids de coton, d'un poids &gt; 100 g/m² mais &lt;= 200 g/m²")</f>
        <v xml:space="preserve">   Tissus de coton, écrus, à armure toile, contenant &gt;= 85% en poids de coton, d'un poids &gt; 100 g/m² mais &lt;= 200 g/m²</v>
      </c>
      <c r="C657">
        <v>166336800</v>
      </c>
      <c r="D657">
        <v>61640.25</v>
      </c>
    </row>
    <row r="658" spans="1:4" x14ac:dyDescent="0.25">
      <c r="A658" t="str">
        <f>T("   620590")</f>
        <v xml:space="preserve">   620590</v>
      </c>
      <c r="B65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58">
        <v>400000</v>
      </c>
      <c r="D658">
        <v>500</v>
      </c>
    </row>
    <row r="659" spans="1:4" x14ac:dyDescent="0.25">
      <c r="A659" t="str">
        <f>T("   660110")</f>
        <v xml:space="preserve">   660110</v>
      </c>
      <c r="B659" t="str">
        <f>T("   Parasols de jardin et articles simil. (sauf tentes de plage)")</f>
        <v xml:space="preserve">   Parasols de jardin et articles simil. (sauf tentes de plage)</v>
      </c>
      <c r="C659">
        <v>19800000</v>
      </c>
      <c r="D659">
        <v>1950</v>
      </c>
    </row>
    <row r="660" spans="1:4" x14ac:dyDescent="0.25">
      <c r="A660" t="str">
        <f>T("   721590")</f>
        <v xml:space="preserve">   721590</v>
      </c>
      <c r="B66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660">
        <v>53570000</v>
      </c>
      <c r="D660">
        <v>134000</v>
      </c>
    </row>
    <row r="661" spans="1:4" x14ac:dyDescent="0.25">
      <c r="A661" t="str">
        <f>T("   732393")</f>
        <v xml:space="preserve">   732393</v>
      </c>
      <c r="B661" t="s">
        <v>71</v>
      </c>
      <c r="C661">
        <v>1446395</v>
      </c>
      <c r="D661">
        <v>3750</v>
      </c>
    </row>
    <row r="662" spans="1:4" x14ac:dyDescent="0.25">
      <c r="A662" t="str">
        <f>T("   732394")</f>
        <v xml:space="preserve">   732394</v>
      </c>
      <c r="B662" t="s">
        <v>72</v>
      </c>
      <c r="C662">
        <v>200000</v>
      </c>
      <c r="D662">
        <v>300</v>
      </c>
    </row>
    <row r="663" spans="1:4" x14ac:dyDescent="0.25">
      <c r="A663" t="str">
        <f>T("   732690")</f>
        <v xml:space="preserve">   732690</v>
      </c>
      <c r="B66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63">
        <v>1455000</v>
      </c>
      <c r="D663">
        <v>30</v>
      </c>
    </row>
    <row r="664" spans="1:4" x14ac:dyDescent="0.25">
      <c r="A664" t="str">
        <f>T("   841381")</f>
        <v xml:space="preserve">   841381</v>
      </c>
      <c r="B664" t="s">
        <v>81</v>
      </c>
      <c r="C664">
        <v>8815446</v>
      </c>
      <c r="D664">
        <v>1690</v>
      </c>
    </row>
    <row r="665" spans="1:4" x14ac:dyDescent="0.25">
      <c r="A665" t="str">
        <f>T("   842920")</f>
        <v xml:space="preserve">   842920</v>
      </c>
      <c r="B665" t="str">
        <f>T("   Niveleuses autopropulsées")</f>
        <v xml:space="preserve">   Niveleuses autopropulsées</v>
      </c>
      <c r="C665">
        <v>64333333</v>
      </c>
      <c r="D665">
        <v>38586</v>
      </c>
    </row>
    <row r="666" spans="1:4" x14ac:dyDescent="0.25">
      <c r="A666" t="str">
        <f>T("   842940")</f>
        <v xml:space="preserve">   842940</v>
      </c>
      <c r="B666" t="str">
        <f>T("   Rouleaux compresseurs et autres compacteuses, autopropulsés")</f>
        <v xml:space="preserve">   Rouleaux compresseurs et autres compacteuses, autopropulsés</v>
      </c>
      <c r="C666">
        <v>32085723</v>
      </c>
      <c r="D666">
        <v>40879</v>
      </c>
    </row>
    <row r="667" spans="1:4" x14ac:dyDescent="0.25">
      <c r="A667" t="str">
        <f>T("   842951")</f>
        <v xml:space="preserve">   842951</v>
      </c>
      <c r="B667" t="str">
        <f>T("   Chargeuses et chargeuses-pelleteuses, à chargement frontal, autopropulsées")</f>
        <v xml:space="preserve">   Chargeuses et chargeuses-pelleteuses, à chargement frontal, autopropulsées</v>
      </c>
      <c r="C667">
        <v>62112256</v>
      </c>
      <c r="D667">
        <v>18200</v>
      </c>
    </row>
    <row r="668" spans="1:4" x14ac:dyDescent="0.25">
      <c r="A668" t="str">
        <f>T("   842959")</f>
        <v xml:space="preserve">   842959</v>
      </c>
      <c r="B66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668">
        <v>152353320</v>
      </c>
      <c r="D668">
        <v>58800</v>
      </c>
    </row>
    <row r="669" spans="1:4" x14ac:dyDescent="0.25">
      <c r="A669" t="str">
        <f>T("   870332")</f>
        <v xml:space="preserve">   870332</v>
      </c>
      <c r="B669" t="s">
        <v>100</v>
      </c>
      <c r="C669">
        <v>6773235</v>
      </c>
      <c r="D669">
        <v>4395</v>
      </c>
    </row>
    <row r="670" spans="1:4" x14ac:dyDescent="0.25">
      <c r="A670" t="str">
        <f>T("   870421")</f>
        <v xml:space="preserve">   870421</v>
      </c>
      <c r="B670" t="s">
        <v>102</v>
      </c>
      <c r="C670">
        <v>3488168</v>
      </c>
      <c r="D670">
        <v>1945</v>
      </c>
    </row>
    <row r="671" spans="1:4" x14ac:dyDescent="0.25">
      <c r="A671" t="str">
        <f>T("   870422")</f>
        <v xml:space="preserve">   870422</v>
      </c>
      <c r="B671" t="s">
        <v>103</v>
      </c>
      <c r="C671">
        <v>46823080</v>
      </c>
      <c r="D671">
        <v>19800</v>
      </c>
    </row>
    <row r="672" spans="1:4" x14ac:dyDescent="0.25">
      <c r="A672" t="str">
        <f>T("   870540")</f>
        <v xml:space="preserve">   870540</v>
      </c>
      <c r="B672" t="str">
        <f>T("   Camions-bétonnières")</f>
        <v xml:space="preserve">   Camions-bétonnières</v>
      </c>
      <c r="C672">
        <v>56858612</v>
      </c>
      <c r="D672">
        <v>16100</v>
      </c>
    </row>
    <row r="673" spans="1:4" x14ac:dyDescent="0.25">
      <c r="A673" t="str">
        <f>T("   870839")</f>
        <v xml:space="preserve">   870839</v>
      </c>
      <c r="B673"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673">
        <v>2850000</v>
      </c>
      <c r="D673">
        <v>650</v>
      </c>
    </row>
    <row r="674" spans="1:4" x14ac:dyDescent="0.25">
      <c r="A674" t="str">
        <f>T("   940350")</f>
        <v xml:space="preserve">   940350</v>
      </c>
      <c r="B674" t="str">
        <f>T("   Meubles pour chambres à coucher, en bois (sauf sièges)")</f>
        <v xml:space="preserve">   Meubles pour chambres à coucher, en bois (sauf sièges)</v>
      </c>
      <c r="C674">
        <v>600000</v>
      </c>
      <c r="D674">
        <v>700</v>
      </c>
    </row>
    <row r="675" spans="1:4" x14ac:dyDescent="0.25">
      <c r="A675" t="str">
        <f>T("MQ")</f>
        <v>MQ</v>
      </c>
      <c r="B675" t="str">
        <f>T("Martinique")</f>
        <v>Martinique</v>
      </c>
    </row>
    <row r="676" spans="1:4" x14ac:dyDescent="0.25">
      <c r="A676" t="str">
        <f>T("   ZZ_Total_Produit_SH6")</f>
        <v xml:space="preserve">   ZZ_Total_Produit_SH6</v>
      </c>
      <c r="B676" t="str">
        <f>T("   ZZ_Total_Produit_SH6")</f>
        <v xml:space="preserve">   ZZ_Total_Produit_SH6</v>
      </c>
      <c r="C676">
        <v>1500000</v>
      </c>
      <c r="D676">
        <v>2000</v>
      </c>
    </row>
    <row r="677" spans="1:4" x14ac:dyDescent="0.25">
      <c r="A677" t="str">
        <f>T("   620590")</f>
        <v xml:space="preserve">   620590</v>
      </c>
      <c r="B67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77">
        <v>450000</v>
      </c>
      <c r="D677">
        <v>550</v>
      </c>
    </row>
    <row r="678" spans="1:4" x14ac:dyDescent="0.25">
      <c r="A678" t="str">
        <f>T("   732394")</f>
        <v xml:space="preserve">   732394</v>
      </c>
      <c r="B678" t="s">
        <v>72</v>
      </c>
      <c r="C678">
        <v>300000</v>
      </c>
      <c r="D678">
        <v>450</v>
      </c>
    </row>
    <row r="679" spans="1:4" x14ac:dyDescent="0.25">
      <c r="A679" t="str">
        <f>T("   940350")</f>
        <v xml:space="preserve">   940350</v>
      </c>
      <c r="B679" t="str">
        <f>T("   Meubles pour chambres à coucher, en bois (sauf sièges)")</f>
        <v xml:space="preserve">   Meubles pour chambres à coucher, en bois (sauf sièges)</v>
      </c>
      <c r="C679">
        <v>750000</v>
      </c>
      <c r="D679">
        <v>1000</v>
      </c>
    </row>
    <row r="680" spans="1:4" x14ac:dyDescent="0.25">
      <c r="A680" t="str">
        <f>T("MR")</f>
        <v>MR</v>
      </c>
      <c r="B680" t="str">
        <f>T("Mauritanie")</f>
        <v>Mauritanie</v>
      </c>
    </row>
    <row r="681" spans="1:4" x14ac:dyDescent="0.25">
      <c r="A681" t="str">
        <f>T("   ZZ_Total_Produit_SH6")</f>
        <v xml:space="preserve">   ZZ_Total_Produit_SH6</v>
      </c>
      <c r="B681" t="str">
        <f>T("   ZZ_Total_Produit_SH6")</f>
        <v xml:space="preserve">   ZZ_Total_Produit_SH6</v>
      </c>
      <c r="C681">
        <v>11409628</v>
      </c>
      <c r="D681">
        <v>2015</v>
      </c>
    </row>
    <row r="682" spans="1:4" x14ac:dyDescent="0.25">
      <c r="A682" t="str">
        <f>T("   732399")</f>
        <v xml:space="preserve">   732399</v>
      </c>
      <c r="B682" t="s">
        <v>73</v>
      </c>
      <c r="C682">
        <v>6167463</v>
      </c>
      <c r="D682">
        <v>1000</v>
      </c>
    </row>
    <row r="683" spans="1:4" x14ac:dyDescent="0.25">
      <c r="A683" t="str">
        <f>T("   870323")</f>
        <v xml:space="preserve">   870323</v>
      </c>
      <c r="B683" t="s">
        <v>98</v>
      </c>
      <c r="C683">
        <v>5242165</v>
      </c>
      <c r="D683">
        <v>1015</v>
      </c>
    </row>
    <row r="684" spans="1:4" x14ac:dyDescent="0.25">
      <c r="A684" t="str">
        <f>T("MU")</f>
        <v>MU</v>
      </c>
      <c r="B684" t="str">
        <f>T("Maurice, île")</f>
        <v>Maurice, île</v>
      </c>
    </row>
    <row r="685" spans="1:4" x14ac:dyDescent="0.25">
      <c r="A685" t="str">
        <f>T("   ZZ_Total_Produit_SH6")</f>
        <v xml:space="preserve">   ZZ_Total_Produit_SH6</v>
      </c>
      <c r="B685" t="str">
        <f>T("   ZZ_Total_Produit_SH6")</f>
        <v xml:space="preserve">   ZZ_Total_Produit_SH6</v>
      </c>
      <c r="C685">
        <v>515190316</v>
      </c>
      <c r="D685">
        <v>680421</v>
      </c>
    </row>
    <row r="686" spans="1:4" x14ac:dyDescent="0.25">
      <c r="A686" t="str">
        <f>T("   520100")</f>
        <v xml:space="preserve">   520100</v>
      </c>
      <c r="B686" t="str">
        <f>T("   COTON, NON-CARDÉ NI PEIGNÉ")</f>
        <v xml:space="preserve">   COTON, NON-CARDÉ NI PEIGNÉ</v>
      </c>
      <c r="C686">
        <v>515190316</v>
      </c>
      <c r="D686">
        <v>680421</v>
      </c>
    </row>
    <row r="687" spans="1:4" x14ac:dyDescent="0.25">
      <c r="A687" t="str">
        <f>T("MY")</f>
        <v>MY</v>
      </c>
      <c r="B687" t="str">
        <f>T("Malaisie")</f>
        <v>Malaisie</v>
      </c>
    </row>
    <row r="688" spans="1:4" x14ac:dyDescent="0.25">
      <c r="A688" t="str">
        <f>T("   ZZ_Total_Produit_SH6")</f>
        <v xml:space="preserve">   ZZ_Total_Produit_SH6</v>
      </c>
      <c r="B688" t="str">
        <f>T("   ZZ_Total_Produit_SH6")</f>
        <v xml:space="preserve">   ZZ_Total_Produit_SH6</v>
      </c>
      <c r="C688">
        <v>6531984383</v>
      </c>
      <c r="D688">
        <v>10695532</v>
      </c>
    </row>
    <row r="689" spans="1:4" x14ac:dyDescent="0.25">
      <c r="A689" t="str">
        <f>T("   151190")</f>
        <v xml:space="preserve">   151190</v>
      </c>
      <c r="B689" t="str">
        <f>T("   Huile de palme et ses fractions, même raffinées, mais non chimiquement modifiées (à l'excl. de l'huile de palme brute)")</f>
        <v xml:space="preserve">   Huile de palme et ses fractions, même raffinées, mais non chimiquement modifiées (à l'excl. de l'huile de palme brute)</v>
      </c>
      <c r="C689">
        <v>21428335</v>
      </c>
      <c r="D689">
        <v>40092</v>
      </c>
    </row>
    <row r="690" spans="1:4" x14ac:dyDescent="0.25">
      <c r="A690" t="str">
        <f>T("   151590")</f>
        <v xml:space="preserve">   151590</v>
      </c>
      <c r="B690" t="s">
        <v>17</v>
      </c>
      <c r="C690">
        <v>1275815193</v>
      </c>
      <c r="D690">
        <v>2803820</v>
      </c>
    </row>
    <row r="691" spans="1:4" x14ac:dyDescent="0.25">
      <c r="A691" t="str">
        <f>T("   392321")</f>
        <v xml:space="preserve">   392321</v>
      </c>
      <c r="B691" t="str">
        <f>T("   Sacs, sachets, pochettes et cornets, en polymères de l'éthylène")</f>
        <v xml:space="preserve">   Sacs, sachets, pochettes et cornets, en polymères de l'éthylène</v>
      </c>
      <c r="C691">
        <v>5328476</v>
      </c>
      <c r="D691">
        <v>4585</v>
      </c>
    </row>
    <row r="692" spans="1:4" x14ac:dyDescent="0.25">
      <c r="A692" t="str">
        <f>T("   440799")</f>
        <v xml:space="preserve">   440799</v>
      </c>
      <c r="B692" t="s">
        <v>48</v>
      </c>
      <c r="C692">
        <v>2500000</v>
      </c>
      <c r="D692">
        <v>180000</v>
      </c>
    </row>
    <row r="693" spans="1:4" x14ac:dyDescent="0.25">
      <c r="A693" t="str">
        <f>T("   520100")</f>
        <v xml:space="preserve">   520100</v>
      </c>
      <c r="B693" t="str">
        <f>T("   COTON, NON-CARDÉ NI PEIGNÉ")</f>
        <v xml:space="preserve">   COTON, NON-CARDÉ NI PEIGNÉ</v>
      </c>
      <c r="C693">
        <v>5191333437</v>
      </c>
      <c r="D693">
        <v>6756245</v>
      </c>
    </row>
    <row r="694" spans="1:4" x14ac:dyDescent="0.25">
      <c r="A694" t="str">
        <f>T("   720449")</f>
        <v xml:space="preserve">   720449</v>
      </c>
      <c r="B694" t="s">
        <v>64</v>
      </c>
      <c r="C694">
        <v>27500000</v>
      </c>
      <c r="D694">
        <v>900000</v>
      </c>
    </row>
    <row r="695" spans="1:4" x14ac:dyDescent="0.25">
      <c r="A695" t="str">
        <f>T("   732620")</f>
        <v xml:space="preserve">   732620</v>
      </c>
      <c r="B695" t="str">
        <f>T("   Ouvrages en fil de fer ou d'acier, n.d.a.")</f>
        <v xml:space="preserve">   Ouvrages en fil de fer ou d'acier, n.d.a.</v>
      </c>
      <c r="C695">
        <v>8078942</v>
      </c>
      <c r="D695">
        <v>10790</v>
      </c>
    </row>
    <row r="696" spans="1:4" x14ac:dyDescent="0.25">
      <c r="A696" t="str">
        <f>T("MZ")</f>
        <v>MZ</v>
      </c>
      <c r="B696" t="str">
        <f>T("Mozambique")</f>
        <v>Mozambique</v>
      </c>
    </row>
    <row r="697" spans="1:4" x14ac:dyDescent="0.25">
      <c r="A697" t="str">
        <f>T("   ZZ_Total_Produit_SH6")</f>
        <v xml:space="preserve">   ZZ_Total_Produit_SH6</v>
      </c>
      <c r="B697" t="str">
        <f>T("   ZZ_Total_Produit_SH6")</f>
        <v xml:space="preserve">   ZZ_Total_Produit_SH6</v>
      </c>
      <c r="C697">
        <v>400000</v>
      </c>
      <c r="D697">
        <v>10000</v>
      </c>
    </row>
    <row r="698" spans="1:4" x14ac:dyDescent="0.25">
      <c r="A698" t="str">
        <f>T("   940380")</f>
        <v xml:space="preserve">   940380</v>
      </c>
      <c r="B698" t="str">
        <f>T("   Meubles en rotin, osier, bambou ou autres matières (sauf métal, bois et matières plastiques)")</f>
        <v xml:space="preserve">   Meubles en rotin, osier, bambou ou autres matières (sauf métal, bois et matières plastiques)</v>
      </c>
      <c r="C698">
        <v>400000</v>
      </c>
      <c r="D698">
        <v>10000</v>
      </c>
    </row>
    <row r="699" spans="1:4" x14ac:dyDescent="0.25">
      <c r="A699" t="str">
        <f>T("NE")</f>
        <v>NE</v>
      </c>
      <c r="B699" t="str">
        <f>T("Niger")</f>
        <v>Niger</v>
      </c>
    </row>
    <row r="700" spans="1:4" x14ac:dyDescent="0.25">
      <c r="A700" t="str">
        <f>T("   ZZ_Total_Produit_SH6")</f>
        <v xml:space="preserve">   ZZ_Total_Produit_SH6</v>
      </c>
      <c r="B700" t="str">
        <f>T("   ZZ_Total_Produit_SH6")</f>
        <v xml:space="preserve">   ZZ_Total_Produit_SH6</v>
      </c>
      <c r="C700">
        <v>4351040039</v>
      </c>
      <c r="D700">
        <v>15546907.33</v>
      </c>
    </row>
    <row r="701" spans="1:4" x14ac:dyDescent="0.25">
      <c r="A701" t="str">
        <f>T("   110100")</f>
        <v xml:space="preserve">   110100</v>
      </c>
      <c r="B701" t="str">
        <f>T("   Farines de froment [blé] ou de méteil")</f>
        <v xml:space="preserve">   Farines de froment [blé] ou de méteil</v>
      </c>
      <c r="C701">
        <v>89600000</v>
      </c>
      <c r="D701">
        <v>640000</v>
      </c>
    </row>
    <row r="702" spans="1:4" x14ac:dyDescent="0.25">
      <c r="A702" t="str">
        <f>T("   110423")</f>
        <v xml:space="preserve">   110423</v>
      </c>
      <c r="B702" t="str">
        <f>T("   Grains de maïs, mondés, perlés, tranchés, concassés ou autrement travaillés (à l'excl. de la farine de maïs)")</f>
        <v xml:space="preserve">   Grains de maïs, mondés, perlés, tranchés, concassés ou autrement travaillés (à l'excl. de la farine de maïs)</v>
      </c>
      <c r="C702">
        <v>90140000</v>
      </c>
      <c r="D702">
        <v>280000</v>
      </c>
    </row>
    <row r="703" spans="1:4" x14ac:dyDescent="0.25">
      <c r="A703" t="str">
        <f>T("   190230")</f>
        <v xml:space="preserve">   190230</v>
      </c>
      <c r="B703" t="str">
        <f>T("   Pâtes alimentaires, cuites ou autrement préparées (à l'excl. des pâtes alimentaires farcies)")</f>
        <v xml:space="preserve">   Pâtes alimentaires, cuites ou autrement préparées (à l'excl. des pâtes alimentaires farcies)</v>
      </c>
      <c r="C703">
        <v>69750000</v>
      </c>
      <c r="D703">
        <v>180000</v>
      </c>
    </row>
    <row r="704" spans="1:4" x14ac:dyDescent="0.25">
      <c r="A704" t="str">
        <f>T("   200949")</f>
        <v xml:space="preserve">   200949</v>
      </c>
      <c r="B704"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04">
        <v>11130000</v>
      </c>
      <c r="D704">
        <v>56300</v>
      </c>
    </row>
    <row r="705" spans="1:4" x14ac:dyDescent="0.25">
      <c r="A705" t="str">
        <f>T("   220110")</f>
        <v xml:space="preserve">   220110</v>
      </c>
      <c r="B705" t="str">
        <f>T("   Eaux minérales et eaux gazéifiées, non additionnées de sucre ou d'autres édulcorants ni aromatisées")</f>
        <v xml:space="preserve">   Eaux minérales et eaux gazéifiées, non additionnées de sucre ou d'autres édulcorants ni aromatisées</v>
      </c>
      <c r="C705">
        <v>10495000</v>
      </c>
      <c r="D705">
        <v>82600</v>
      </c>
    </row>
    <row r="706" spans="1:4" x14ac:dyDescent="0.25">
      <c r="A706" t="str">
        <f>T("   220870")</f>
        <v xml:space="preserve">   220870</v>
      </c>
      <c r="B706" t="str">
        <f>T("   LIQUEURS")</f>
        <v xml:space="preserve">   LIQUEURS</v>
      </c>
      <c r="C706">
        <v>5695000</v>
      </c>
      <c r="D706">
        <v>28160</v>
      </c>
    </row>
    <row r="707" spans="1:4" x14ac:dyDescent="0.25">
      <c r="A707" t="str">
        <f>T("   230230")</f>
        <v xml:space="preserve">   230230</v>
      </c>
      <c r="B707"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07">
        <v>149540000</v>
      </c>
      <c r="D707">
        <v>1750000</v>
      </c>
    </row>
    <row r="708" spans="1:4" x14ac:dyDescent="0.25">
      <c r="A708" t="str">
        <f>T("   340120")</f>
        <v xml:space="preserve">   340120</v>
      </c>
      <c r="B708" t="str">
        <f>T("   Savons en flocons, en paillettes, en granulés ou en poudres et savons liquides ou pâteux")</f>
        <v xml:space="preserve">   Savons en flocons, en paillettes, en granulés ou en poudres et savons liquides ou pâteux</v>
      </c>
      <c r="C708">
        <v>12810000</v>
      </c>
      <c r="D708">
        <v>14700</v>
      </c>
    </row>
    <row r="709" spans="1:4" x14ac:dyDescent="0.25">
      <c r="A709" t="str">
        <f>T("   391721")</f>
        <v xml:space="preserve">   391721</v>
      </c>
      <c r="B709" t="str">
        <f>T("   TUBES ET TUYAUX RIGIDES, EN POLYMÈRES DE L'ÉTHYLÈNE")</f>
        <v xml:space="preserve">   TUBES ET TUYAUX RIGIDES, EN POLYMÈRES DE L'ÉTHYLÈNE</v>
      </c>
      <c r="C709">
        <v>21693500</v>
      </c>
      <c r="D709">
        <v>39362</v>
      </c>
    </row>
    <row r="710" spans="1:4" x14ac:dyDescent="0.25">
      <c r="A710" t="str">
        <f>T("   482020")</f>
        <v xml:space="preserve">   482020</v>
      </c>
      <c r="B710" t="str">
        <f>T("   Cahiers pour l'écriture, en papier ou carton")</f>
        <v xml:space="preserve">   Cahiers pour l'écriture, en papier ou carton</v>
      </c>
      <c r="C710">
        <v>750000</v>
      </c>
      <c r="D710">
        <v>2000</v>
      </c>
    </row>
    <row r="711" spans="1:4" x14ac:dyDescent="0.25">
      <c r="A711" t="str">
        <f>T("   490199")</f>
        <v xml:space="preserve">   490199</v>
      </c>
      <c r="B71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11">
        <v>19841200</v>
      </c>
      <c r="D711">
        <v>3000</v>
      </c>
    </row>
    <row r="712" spans="1:4" x14ac:dyDescent="0.25">
      <c r="A712" t="str">
        <f>T("   520812")</f>
        <v xml:space="preserve">   520812</v>
      </c>
      <c r="B712" t="str">
        <f>T("   Tissus de coton, écrus, à armure toile, contenant &gt;= 85% en poids de coton, d'un poids &gt; 100 g/m² mais &lt;= 200 g/m²")</f>
        <v xml:space="preserve">   Tissus de coton, écrus, à armure toile, contenant &gt;= 85% en poids de coton, d'un poids &gt; 100 g/m² mais &lt;= 200 g/m²</v>
      </c>
      <c r="C712">
        <v>241050600</v>
      </c>
      <c r="D712">
        <v>102000</v>
      </c>
    </row>
    <row r="713" spans="1:4" x14ac:dyDescent="0.25">
      <c r="A713" t="str">
        <f>T("   610349")</f>
        <v xml:space="preserve">   610349</v>
      </c>
      <c r="B713"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713">
        <v>10500000</v>
      </c>
      <c r="D713">
        <v>4500</v>
      </c>
    </row>
    <row r="714" spans="1:4" x14ac:dyDescent="0.25">
      <c r="A714" t="str">
        <f>T("   620590")</f>
        <v xml:space="preserve">   620590</v>
      </c>
      <c r="B71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14">
        <v>1150000</v>
      </c>
      <c r="D714">
        <v>1800</v>
      </c>
    </row>
    <row r="715" spans="1:4" x14ac:dyDescent="0.25">
      <c r="A715" t="str">
        <f>T("   721391")</f>
        <v xml:space="preserve">   721391</v>
      </c>
      <c r="B715"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15">
        <v>59151579</v>
      </c>
      <c r="D715">
        <v>180000</v>
      </c>
    </row>
    <row r="716" spans="1:4" x14ac:dyDescent="0.25">
      <c r="A716" t="str">
        <f>T("   721590")</f>
        <v xml:space="preserve">   721590</v>
      </c>
      <c r="B716"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716">
        <v>3449210030</v>
      </c>
      <c r="D716">
        <v>12030000</v>
      </c>
    </row>
    <row r="717" spans="1:4" x14ac:dyDescent="0.25">
      <c r="A717" t="str">
        <f>T("   730840")</f>
        <v xml:space="preserve">   730840</v>
      </c>
      <c r="B717"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717">
        <v>22037702</v>
      </c>
      <c r="D717">
        <v>39852</v>
      </c>
    </row>
    <row r="718" spans="1:4" x14ac:dyDescent="0.25">
      <c r="A718" t="str">
        <f>T("   730890")</f>
        <v xml:space="preserve">   730890</v>
      </c>
      <c r="B718" t="s">
        <v>67</v>
      </c>
      <c r="C718">
        <v>2200000</v>
      </c>
      <c r="D718">
        <v>2800</v>
      </c>
    </row>
    <row r="719" spans="1:4" x14ac:dyDescent="0.25">
      <c r="A719" t="str">
        <f>T("   731700")</f>
        <v xml:space="preserve">   731700</v>
      </c>
      <c r="B71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719">
        <v>18000000</v>
      </c>
      <c r="D719">
        <v>60000</v>
      </c>
    </row>
    <row r="720" spans="1:4" x14ac:dyDescent="0.25">
      <c r="A720" t="str">
        <f>T("   732394")</f>
        <v xml:space="preserve">   732394</v>
      </c>
      <c r="B720" t="s">
        <v>72</v>
      </c>
      <c r="C720">
        <v>950000</v>
      </c>
      <c r="D720">
        <v>1500</v>
      </c>
    </row>
    <row r="721" spans="1:4" x14ac:dyDescent="0.25">
      <c r="A721" t="str">
        <f>T("   840820")</f>
        <v xml:space="preserve">   840820</v>
      </c>
      <c r="B721" t="s">
        <v>79</v>
      </c>
      <c r="C721">
        <v>600000</v>
      </c>
      <c r="D721">
        <v>200</v>
      </c>
    </row>
    <row r="722" spans="1:4" x14ac:dyDescent="0.25">
      <c r="A722" t="str">
        <f>T("   841510")</f>
        <v xml:space="preserve">   841510</v>
      </c>
      <c r="B722" t="s">
        <v>82</v>
      </c>
      <c r="C722">
        <v>700000</v>
      </c>
      <c r="D722">
        <v>150</v>
      </c>
    </row>
    <row r="723" spans="1:4" x14ac:dyDescent="0.25">
      <c r="A723" t="str">
        <f>T("   843141")</f>
        <v xml:space="preserve">   843141</v>
      </c>
      <c r="B723" t="str">
        <f>T("   Godets, bennes, bennes-preneuses, pelles, grappins et pinces pour machines et appareils du n° 8426, 8429 ou 8430")</f>
        <v xml:space="preserve">   Godets, bennes, bennes-preneuses, pelles, grappins et pinces pour machines et appareils du n° 8426, 8429 ou 8430</v>
      </c>
      <c r="C723">
        <v>15308274</v>
      </c>
      <c r="D723">
        <v>27864</v>
      </c>
    </row>
    <row r="724" spans="1:4" x14ac:dyDescent="0.25">
      <c r="A724" t="str">
        <f>T("   847431")</f>
        <v xml:space="preserve">   847431</v>
      </c>
      <c r="B72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24">
        <v>4707050</v>
      </c>
      <c r="D724">
        <v>4800</v>
      </c>
    </row>
    <row r="725" spans="1:4" x14ac:dyDescent="0.25">
      <c r="A725" t="str">
        <f>T("   850211")</f>
        <v xml:space="preserve">   850211</v>
      </c>
      <c r="B725" t="s">
        <v>91</v>
      </c>
      <c r="C725">
        <v>11082320</v>
      </c>
      <c r="D725">
        <v>1761.33</v>
      </c>
    </row>
    <row r="726" spans="1:4" x14ac:dyDescent="0.25">
      <c r="A726" t="str">
        <f>T("   850212")</f>
        <v xml:space="preserve">   850212</v>
      </c>
      <c r="B72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26">
        <v>1000000</v>
      </c>
      <c r="D726">
        <v>1000</v>
      </c>
    </row>
    <row r="727" spans="1:4" x14ac:dyDescent="0.25">
      <c r="A727" t="str">
        <f>T("   851430")</f>
        <v xml:space="preserve">   851430</v>
      </c>
      <c r="B727"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727">
        <v>6500000</v>
      </c>
      <c r="D727">
        <v>800</v>
      </c>
    </row>
    <row r="728" spans="1:4" x14ac:dyDescent="0.25">
      <c r="A728" t="str">
        <f>T("   853931")</f>
        <v xml:space="preserve">   853931</v>
      </c>
      <c r="B728" t="str">
        <f>T("   Lampes et tubes à décharge, fluorescents, à cathode chaude")</f>
        <v xml:space="preserve">   Lampes et tubes à décharge, fluorescents, à cathode chaude</v>
      </c>
      <c r="C728">
        <v>3830880</v>
      </c>
      <c r="D728">
        <v>2187</v>
      </c>
    </row>
    <row r="729" spans="1:4" x14ac:dyDescent="0.25">
      <c r="A729" t="str">
        <f>T("   870323")</f>
        <v xml:space="preserve">   870323</v>
      </c>
      <c r="B729" t="s">
        <v>98</v>
      </c>
      <c r="C729">
        <v>10371384</v>
      </c>
      <c r="D729">
        <v>1717</v>
      </c>
    </row>
    <row r="730" spans="1:4" x14ac:dyDescent="0.25">
      <c r="A730" t="str">
        <f>T("   900911")</f>
        <v xml:space="preserve">   900911</v>
      </c>
      <c r="B730"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730">
        <v>2220000</v>
      </c>
      <c r="D730">
        <v>80</v>
      </c>
    </row>
    <row r="731" spans="1:4" x14ac:dyDescent="0.25">
      <c r="A731" t="str">
        <f>T("   940350")</f>
        <v xml:space="preserve">   940350</v>
      </c>
      <c r="B731" t="str">
        <f>T("   Meubles pour chambres à coucher, en bois (sauf sièges)")</f>
        <v xml:space="preserve">   Meubles pour chambres à coucher, en bois (sauf sièges)</v>
      </c>
      <c r="C731">
        <v>1900000</v>
      </c>
      <c r="D731">
        <v>3200</v>
      </c>
    </row>
    <row r="732" spans="1:4" x14ac:dyDescent="0.25">
      <c r="A732" t="str">
        <f>T("   940360")</f>
        <v xml:space="preserve">   940360</v>
      </c>
      <c r="B732" t="str">
        <f>T("   Meubles en bois (autres que pour bureaux, cuisines ou chambres à coucher et autres que sièges)")</f>
        <v xml:space="preserve">   Meubles en bois (autres que pour bureaux, cuisines ou chambres à coucher et autres que sièges)</v>
      </c>
      <c r="C732">
        <v>2632000</v>
      </c>
      <c r="D732">
        <v>1200</v>
      </c>
    </row>
    <row r="733" spans="1:4" x14ac:dyDescent="0.25">
      <c r="A733" t="str">
        <f>T("   940380")</f>
        <v xml:space="preserve">   940380</v>
      </c>
      <c r="B733" t="str">
        <f>T("   Meubles en rotin, osier, bambou ou autres matières (sauf métal, bois et matières plastiques)")</f>
        <v xml:space="preserve">   Meubles en rotin, osier, bambou ou autres matières (sauf métal, bois et matières plastiques)</v>
      </c>
      <c r="C733">
        <v>2520000</v>
      </c>
      <c r="D733">
        <v>1500</v>
      </c>
    </row>
    <row r="734" spans="1:4" x14ac:dyDescent="0.25">
      <c r="A734" t="str">
        <f>T("   940591")</f>
        <v xml:space="preserve">   940591</v>
      </c>
      <c r="B734"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734">
        <v>1973520</v>
      </c>
      <c r="D734">
        <v>1874</v>
      </c>
    </row>
    <row r="735" spans="1:4" x14ac:dyDescent="0.25">
      <c r="A735" t="str">
        <f>T("NG")</f>
        <v>NG</v>
      </c>
      <c r="B735" t="str">
        <f>T("Nigéria")</f>
        <v>Nigéria</v>
      </c>
    </row>
    <row r="736" spans="1:4" x14ac:dyDescent="0.25">
      <c r="A736" t="str">
        <f>T("   ZZ_Total_Produit_SH6")</f>
        <v xml:space="preserve">   ZZ_Total_Produit_SH6</v>
      </c>
      <c r="B736" t="str">
        <f>T("   ZZ_Total_Produit_SH6")</f>
        <v xml:space="preserve">   ZZ_Total_Produit_SH6</v>
      </c>
      <c r="C736">
        <v>14880527417</v>
      </c>
      <c r="D736">
        <v>75101125</v>
      </c>
    </row>
    <row r="737" spans="1:4" x14ac:dyDescent="0.25">
      <c r="A737" t="str">
        <f>T("   100630")</f>
        <v xml:space="preserve">   100630</v>
      </c>
      <c r="B737" t="str">
        <f>T("   Riz semi-blanchi ou blanchi, même poli ou glacé")</f>
        <v xml:space="preserve">   Riz semi-blanchi ou blanchi, même poli ou glacé</v>
      </c>
      <c r="C737">
        <v>4318490000</v>
      </c>
      <c r="D737">
        <v>60110110</v>
      </c>
    </row>
    <row r="738" spans="1:4" x14ac:dyDescent="0.25">
      <c r="A738" t="str">
        <f>T("   151190")</f>
        <v xml:space="preserve">   151190</v>
      </c>
      <c r="B738" t="str">
        <f>T("   Huile de palme et ses fractions, même raffinées, mais non chimiquement modifiées (à l'excl. de l'huile de palme brute)")</f>
        <v xml:space="preserve">   Huile de palme et ses fractions, même raffinées, mais non chimiquement modifiées (à l'excl. de l'huile de palme brute)</v>
      </c>
      <c r="C738">
        <v>510609200</v>
      </c>
      <c r="D738">
        <v>709700</v>
      </c>
    </row>
    <row r="739" spans="1:4" x14ac:dyDescent="0.25">
      <c r="A739" t="str">
        <f>T("   151219")</f>
        <v xml:space="preserve">   151219</v>
      </c>
      <c r="B739"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739">
        <v>47340500</v>
      </c>
      <c r="D739">
        <v>65980</v>
      </c>
    </row>
    <row r="740" spans="1:4" x14ac:dyDescent="0.25">
      <c r="A740" t="str">
        <f>T("   151229")</f>
        <v xml:space="preserve">   151229</v>
      </c>
      <c r="B740"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740">
        <v>4235606240</v>
      </c>
      <c r="D740">
        <v>5796370</v>
      </c>
    </row>
    <row r="741" spans="1:4" x14ac:dyDescent="0.25">
      <c r="A741" t="str">
        <f>T("   151620")</f>
        <v xml:space="preserve">   151620</v>
      </c>
      <c r="B74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41">
        <v>919560411</v>
      </c>
      <c r="D741">
        <v>1332818</v>
      </c>
    </row>
    <row r="742" spans="1:4" x14ac:dyDescent="0.25">
      <c r="A742" t="str">
        <f>T("   190230")</f>
        <v xml:space="preserve">   190230</v>
      </c>
      <c r="B742" t="str">
        <f>T("   Pâtes alimentaires, cuites ou autrement préparées (à l'excl. des pâtes alimentaires farcies)")</f>
        <v xml:space="preserve">   Pâtes alimentaires, cuites ou autrement préparées (à l'excl. des pâtes alimentaires farcies)</v>
      </c>
      <c r="C742">
        <v>42000000</v>
      </c>
      <c r="D742">
        <v>80000</v>
      </c>
    </row>
    <row r="743" spans="1:4" x14ac:dyDescent="0.25">
      <c r="A743" t="str">
        <f>T("   271019")</f>
        <v xml:space="preserve">   271019</v>
      </c>
      <c r="B743" t="str">
        <f>T("   Huiles moyennes et préparations, de pétrole ou de minéraux bitumineux, n.d.a.")</f>
        <v xml:space="preserve">   Huiles moyennes et préparations, de pétrole ou de minéraux bitumineux, n.d.a.</v>
      </c>
      <c r="C743">
        <v>38845856</v>
      </c>
      <c r="D743">
        <v>87595</v>
      </c>
    </row>
    <row r="744" spans="1:4" x14ac:dyDescent="0.25">
      <c r="A744" t="str">
        <f>T("   340119")</f>
        <v xml:space="preserve">   340119</v>
      </c>
      <c r="B744" t="s">
        <v>34</v>
      </c>
      <c r="C744">
        <v>209104576</v>
      </c>
      <c r="D744">
        <v>322750</v>
      </c>
    </row>
    <row r="745" spans="1:4" x14ac:dyDescent="0.25">
      <c r="A745" t="str">
        <f>T("   391721")</f>
        <v xml:space="preserve">   391721</v>
      </c>
      <c r="B745" t="str">
        <f>T("   TUBES ET TUYAUX RIGIDES, EN POLYMÈRES DE L'ÉTHYLÈNE")</f>
        <v xml:space="preserve">   TUBES ET TUYAUX RIGIDES, EN POLYMÈRES DE L'ÉTHYLÈNE</v>
      </c>
      <c r="C745">
        <v>735416928</v>
      </c>
      <c r="D745">
        <v>2752464</v>
      </c>
    </row>
    <row r="746" spans="1:4" x14ac:dyDescent="0.25">
      <c r="A746" t="str">
        <f>T("   391723")</f>
        <v xml:space="preserve">   391723</v>
      </c>
      <c r="B746" t="str">
        <f>T("   TUBES ET TUYAUX RIGIDES, EN POLYMÈRES DU CHLORURE DE VINYLE")</f>
        <v xml:space="preserve">   TUBES ET TUYAUX RIGIDES, EN POLYMÈRES DU CHLORURE DE VINYLE</v>
      </c>
      <c r="C746">
        <v>20574960</v>
      </c>
      <c r="D746">
        <v>17160</v>
      </c>
    </row>
    <row r="747" spans="1:4" x14ac:dyDescent="0.25">
      <c r="A747" t="str">
        <f>T("   420299")</f>
        <v xml:space="preserve">   420299</v>
      </c>
      <c r="B747" t="s">
        <v>40</v>
      </c>
      <c r="C747">
        <v>3245689</v>
      </c>
      <c r="D747">
        <v>302</v>
      </c>
    </row>
    <row r="748" spans="1:4" x14ac:dyDescent="0.25">
      <c r="A748" t="str">
        <f>T("   440420")</f>
        <v xml:space="preserve">   440420</v>
      </c>
      <c r="B748" t="s">
        <v>46</v>
      </c>
      <c r="C748">
        <v>232005950</v>
      </c>
      <c r="D748">
        <v>1120000</v>
      </c>
    </row>
    <row r="749" spans="1:4" x14ac:dyDescent="0.25">
      <c r="A749" t="str">
        <f>T("   442190")</f>
        <v xml:space="preserve">   442190</v>
      </c>
      <c r="B749" t="str">
        <f>T("   Ouvrages, en bois, n.d.a.")</f>
        <v xml:space="preserve">   Ouvrages, en bois, n.d.a.</v>
      </c>
      <c r="C749">
        <v>11662586</v>
      </c>
      <c r="D749">
        <v>620</v>
      </c>
    </row>
    <row r="750" spans="1:4" x14ac:dyDescent="0.25">
      <c r="A750" t="str">
        <f>T("   490700")</f>
        <v xml:space="preserve">   490700</v>
      </c>
      <c r="B750" t="s">
        <v>52</v>
      </c>
      <c r="C750">
        <v>5700000</v>
      </c>
      <c r="D750">
        <v>2700</v>
      </c>
    </row>
    <row r="751" spans="1:4" x14ac:dyDescent="0.25">
      <c r="A751" t="str">
        <f>T("   520812")</f>
        <v xml:space="preserve">   520812</v>
      </c>
      <c r="B751" t="str">
        <f>T("   Tissus de coton, écrus, à armure toile, contenant &gt;= 85% en poids de coton, d'un poids &gt; 100 g/m² mais &lt;= 200 g/m²")</f>
        <v xml:space="preserve">   Tissus de coton, écrus, à armure toile, contenant &gt;= 85% en poids de coton, d'un poids &gt; 100 g/m² mais &lt;= 200 g/m²</v>
      </c>
      <c r="C751">
        <v>488235750</v>
      </c>
      <c r="D751">
        <v>182400</v>
      </c>
    </row>
    <row r="752" spans="1:4" x14ac:dyDescent="0.25">
      <c r="A752" t="str">
        <f>T("   610990")</f>
        <v xml:space="preserve">   610990</v>
      </c>
      <c r="B752" t="str">
        <f>T("   T-shirts et maillots de corps, en bonneterie, de matières textiles (sauf de coton)")</f>
        <v xml:space="preserve">   T-shirts et maillots de corps, en bonneterie, de matières textiles (sauf de coton)</v>
      </c>
      <c r="C752">
        <v>10687966</v>
      </c>
      <c r="D752">
        <v>544</v>
      </c>
    </row>
    <row r="753" spans="1:4" x14ac:dyDescent="0.25">
      <c r="A753" t="str">
        <f>T("   611090")</f>
        <v xml:space="preserve">   611090</v>
      </c>
      <c r="B753"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753">
        <v>2576005</v>
      </c>
      <c r="D753">
        <v>112</v>
      </c>
    </row>
    <row r="754" spans="1:4" x14ac:dyDescent="0.25">
      <c r="A754" t="str">
        <f>T("   650590")</f>
        <v xml:space="preserve">   650590</v>
      </c>
      <c r="B754" t="s">
        <v>59</v>
      </c>
      <c r="C754">
        <v>7005653</v>
      </c>
      <c r="D754">
        <v>658</v>
      </c>
    </row>
    <row r="755" spans="1:4" x14ac:dyDescent="0.25">
      <c r="A755" t="str">
        <f>T("   660199")</f>
        <v xml:space="preserve">   660199</v>
      </c>
      <c r="B755"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55">
        <v>1114476</v>
      </c>
      <c r="D755">
        <v>104</v>
      </c>
    </row>
    <row r="756" spans="1:4" x14ac:dyDescent="0.25">
      <c r="A756" t="str">
        <f>T("   720449")</f>
        <v xml:space="preserve">   720449</v>
      </c>
      <c r="B756" t="s">
        <v>64</v>
      </c>
      <c r="C756">
        <v>1000000</v>
      </c>
      <c r="D756">
        <v>20000</v>
      </c>
    </row>
    <row r="757" spans="1:4" x14ac:dyDescent="0.25">
      <c r="A757" t="str">
        <f>T("   720990")</f>
        <v xml:space="preserve">   720990</v>
      </c>
      <c r="B757"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757">
        <v>49500000</v>
      </c>
      <c r="D757">
        <v>93665</v>
      </c>
    </row>
    <row r="758" spans="1:4" x14ac:dyDescent="0.25">
      <c r="A758" t="str">
        <f>T("   721391")</f>
        <v xml:space="preserve">   721391</v>
      </c>
      <c r="B75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58">
        <v>341340808</v>
      </c>
      <c r="D758">
        <v>905000</v>
      </c>
    </row>
    <row r="759" spans="1:4" x14ac:dyDescent="0.25">
      <c r="A759" t="str">
        <f>T("   721590")</f>
        <v xml:space="preserve">   721590</v>
      </c>
      <c r="B759"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759">
        <v>169050000</v>
      </c>
      <c r="D759">
        <v>465000</v>
      </c>
    </row>
    <row r="760" spans="1:4" x14ac:dyDescent="0.25">
      <c r="A760" t="str">
        <f>T("   730429")</f>
        <v xml:space="preserve">   730429</v>
      </c>
      <c r="B760"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760">
        <v>1845498</v>
      </c>
      <c r="D760">
        <v>1000</v>
      </c>
    </row>
    <row r="761" spans="1:4" x14ac:dyDescent="0.25">
      <c r="A761" t="str">
        <f>T("   730620")</f>
        <v xml:space="preserve">   730620</v>
      </c>
      <c r="B761" t="str">
        <f>T("   Tubes et tuyaux de cuvelage ou de production des types utilisés pour l'extraction du pétrole ou du gaz, en produits laminés plats en fer ou en acier, diamètre extérieur &lt;= 406,4 mm")</f>
        <v xml:space="preserve">   Tubes et tuyaux de cuvelage ou de production des types utilisés pour l'extraction du pétrole ou du gaz, en produits laminés plats en fer ou en acier, diamètre extérieur &lt;= 406,4 mm</v>
      </c>
      <c r="C761">
        <v>118639125</v>
      </c>
      <c r="D761">
        <v>366122</v>
      </c>
    </row>
    <row r="762" spans="1:4" x14ac:dyDescent="0.25">
      <c r="A762" t="str">
        <f>T("   821490")</f>
        <v xml:space="preserve">   821490</v>
      </c>
      <c r="B762" t="str">
        <f>T("   Tondeuses de coiffeur et autres articles à couper, n.d.a., en métaux communs")</f>
        <v xml:space="preserve">   Tondeuses de coiffeur et autres articles à couper, n.d.a., en métaux communs</v>
      </c>
      <c r="C762">
        <v>2063650</v>
      </c>
      <c r="D762">
        <v>192</v>
      </c>
    </row>
    <row r="763" spans="1:4" x14ac:dyDescent="0.25">
      <c r="A763" t="str">
        <f>T("   841290")</f>
        <v xml:space="preserve">   841290</v>
      </c>
      <c r="B763" t="str">
        <f>T("   PARTIES DE MOTEURS ET MACHINES MOTRICES NON-ÉLECTRIQUES, N.D.A.")</f>
        <v xml:space="preserve">   PARTIES DE MOTEURS ET MACHINES MOTRICES NON-ÉLECTRIQUES, N.D.A.</v>
      </c>
      <c r="C763">
        <v>13165827</v>
      </c>
      <c r="D763">
        <v>10452</v>
      </c>
    </row>
    <row r="764" spans="1:4" x14ac:dyDescent="0.25">
      <c r="A764" t="str">
        <f>T("   841861")</f>
        <v xml:space="preserve">   841861</v>
      </c>
      <c r="B764" t="str">
        <f>T("   Groupes à compression pour la production du froid, dont le condenseur est constitué par un échangeur de chaleur")</f>
        <v xml:space="preserve">   Groupes à compression pour la production du froid, dont le condenseur est constitué par un échangeur de chaleur</v>
      </c>
      <c r="C764">
        <v>12319202</v>
      </c>
      <c r="D764">
        <v>681</v>
      </c>
    </row>
    <row r="765" spans="1:4" x14ac:dyDescent="0.25">
      <c r="A765" t="str">
        <f>T("   842911")</f>
        <v xml:space="preserve">   842911</v>
      </c>
      <c r="B765" t="str">
        <f>T("   Bouteurs 'bulldozers' et bouteurs biais 'angledozers', à chenilles")</f>
        <v xml:space="preserve">   Bouteurs 'bulldozers' et bouteurs biais 'angledozers', à chenilles</v>
      </c>
      <c r="C765">
        <v>20132700</v>
      </c>
      <c r="D765">
        <v>97000</v>
      </c>
    </row>
    <row r="766" spans="1:4" x14ac:dyDescent="0.25">
      <c r="A766" t="str">
        <f>T("   842959")</f>
        <v xml:space="preserve">   842959</v>
      </c>
      <c r="B766"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66">
        <v>154350700</v>
      </c>
      <c r="D766">
        <v>125573</v>
      </c>
    </row>
    <row r="767" spans="1:4" x14ac:dyDescent="0.25">
      <c r="A767" t="str">
        <f>T("   843069")</f>
        <v xml:space="preserve">   843069</v>
      </c>
      <c r="B76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767">
        <v>28361223</v>
      </c>
      <c r="D767">
        <v>65261</v>
      </c>
    </row>
    <row r="768" spans="1:4" x14ac:dyDescent="0.25">
      <c r="A768" t="str">
        <f>T("   843149")</f>
        <v xml:space="preserve">   843149</v>
      </c>
      <c r="B768" t="str">
        <f>T("   Parties de machines et appareils du n° 8426, 8429 ou 8430, n.d.a.")</f>
        <v xml:space="preserve">   Parties de machines et appareils du n° 8426, 8429 ou 8430, n.d.a.</v>
      </c>
      <c r="C768">
        <v>6940470</v>
      </c>
      <c r="D768">
        <v>5000</v>
      </c>
    </row>
    <row r="769" spans="1:4" x14ac:dyDescent="0.25">
      <c r="A769" t="str">
        <f>T("   847030")</f>
        <v xml:space="preserve">   847030</v>
      </c>
      <c r="B769" t="str">
        <f>T("   Machines à calculer autres qu'électroniques")</f>
        <v xml:space="preserve">   Machines à calculer autres qu'électroniques</v>
      </c>
      <c r="C769">
        <v>171206</v>
      </c>
      <c r="D769">
        <v>16</v>
      </c>
    </row>
    <row r="770" spans="1:4" x14ac:dyDescent="0.25">
      <c r="A770" t="str">
        <f>T("   847170")</f>
        <v xml:space="preserve">   847170</v>
      </c>
      <c r="B770" t="str">
        <f>T("   UNITÉS DE MÉMOIRE POUR MACHINES AUTOMATIQUES DE TRAITEMENT DE L'INFORMATION")</f>
        <v xml:space="preserve">   UNITÉS DE MÉMOIRE POUR MACHINES AUTOMATIQUES DE TRAITEMENT DE L'INFORMATION</v>
      </c>
      <c r="C770">
        <v>4257501</v>
      </c>
      <c r="D770">
        <v>394</v>
      </c>
    </row>
    <row r="771" spans="1:4" x14ac:dyDescent="0.25">
      <c r="A771" t="str">
        <f>T("   847890")</f>
        <v xml:space="preserve">   847890</v>
      </c>
      <c r="B771" t="str">
        <f>T("   Parties des machines et appareils pour la préparation ou la transformation du tabac, n.d.a.")</f>
        <v xml:space="preserve">   Parties des machines et appareils pour la préparation ou la transformation du tabac, n.d.a.</v>
      </c>
      <c r="C771">
        <v>2109606718</v>
      </c>
      <c r="D771">
        <v>231768</v>
      </c>
    </row>
    <row r="772" spans="1:4" x14ac:dyDescent="0.25">
      <c r="A772" t="str">
        <f>T("   871640")</f>
        <v xml:space="preserve">   871640</v>
      </c>
      <c r="B77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72">
        <v>457335</v>
      </c>
      <c r="D772">
        <v>18000</v>
      </c>
    </row>
    <row r="773" spans="1:4" x14ac:dyDescent="0.25">
      <c r="A773" t="str">
        <f>T("   920790")</f>
        <v xml:space="preserve">   920790</v>
      </c>
      <c r="B773" t="str">
        <f>T("   Accordéons électriques et autres instruments de musique électriques")</f>
        <v xml:space="preserve">   Accordéons électriques et autres instruments de musique électriques</v>
      </c>
      <c r="C773">
        <v>6470813</v>
      </c>
      <c r="D773">
        <v>108000</v>
      </c>
    </row>
    <row r="774" spans="1:4" x14ac:dyDescent="0.25">
      <c r="A774" t="str">
        <f>T("   940180")</f>
        <v xml:space="preserve">   940180</v>
      </c>
      <c r="B774" t="str">
        <f>T("   Sièges, n.d.a.")</f>
        <v xml:space="preserve">   Sièges, n.d.a.</v>
      </c>
      <c r="C774">
        <v>918400</v>
      </c>
      <c r="D774">
        <v>5600</v>
      </c>
    </row>
    <row r="775" spans="1:4" x14ac:dyDescent="0.25">
      <c r="A775" t="str">
        <f>T("   950490")</f>
        <v xml:space="preserve">   950490</v>
      </c>
      <c r="B775" t="s">
        <v>108</v>
      </c>
      <c r="C775">
        <v>153495</v>
      </c>
      <c r="D775">
        <v>14</v>
      </c>
    </row>
    <row r="776" spans="1:4" x14ac:dyDescent="0.25">
      <c r="A776" t="str">
        <f>T("NL")</f>
        <v>NL</v>
      </c>
      <c r="B776" t="str">
        <f>T("Pays-bas")</f>
        <v>Pays-bas</v>
      </c>
    </row>
    <row r="777" spans="1:4" x14ac:dyDescent="0.25">
      <c r="A777" t="str">
        <f>T("   ZZ_Total_Produit_SH6")</f>
        <v xml:space="preserve">   ZZ_Total_Produit_SH6</v>
      </c>
      <c r="B777" t="str">
        <f>T("   ZZ_Total_Produit_SH6")</f>
        <v xml:space="preserve">   ZZ_Total_Produit_SH6</v>
      </c>
      <c r="C777">
        <v>1281556930</v>
      </c>
      <c r="D777">
        <v>2238568</v>
      </c>
    </row>
    <row r="778" spans="1:4" x14ac:dyDescent="0.25">
      <c r="A778" t="str">
        <f>T("   080131")</f>
        <v xml:space="preserve">   080131</v>
      </c>
      <c r="B778" t="str">
        <f>T("   Noix de cajou, fraîches ou sèches, en coques")</f>
        <v xml:space="preserve">   Noix de cajou, fraîches ou sèches, en coques</v>
      </c>
      <c r="C778">
        <v>140941837</v>
      </c>
      <c r="D778">
        <v>320000</v>
      </c>
    </row>
    <row r="779" spans="1:4" x14ac:dyDescent="0.25">
      <c r="A779" t="str">
        <f>T("   080132")</f>
        <v xml:space="preserve">   080132</v>
      </c>
      <c r="B779" t="str">
        <f>T("   Noix de cajou, fraîches ou sèches, sans coques")</f>
        <v xml:space="preserve">   Noix de cajou, fraîches ou sèches, sans coques</v>
      </c>
      <c r="C779">
        <v>167847405</v>
      </c>
      <c r="D779">
        <v>69333</v>
      </c>
    </row>
    <row r="780" spans="1:4" x14ac:dyDescent="0.25">
      <c r="A780" t="str">
        <f>T("   151190")</f>
        <v xml:space="preserve">   151190</v>
      </c>
      <c r="B780" t="str">
        <f>T("   Huile de palme et ses fractions, même raffinées, mais non chimiquement modifiées (à l'excl. de l'huile de palme brute)")</f>
        <v xml:space="preserve">   Huile de palme et ses fractions, même raffinées, mais non chimiquement modifiées (à l'excl. de l'huile de palme brute)</v>
      </c>
      <c r="C780">
        <v>169078533</v>
      </c>
      <c r="D780">
        <v>281088</v>
      </c>
    </row>
    <row r="781" spans="1:4" x14ac:dyDescent="0.25">
      <c r="A781" t="str">
        <f>T("   151229")</f>
        <v xml:space="preserve">   151229</v>
      </c>
      <c r="B781"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781">
        <v>12318207</v>
      </c>
      <c r="D781">
        <v>19460</v>
      </c>
    </row>
    <row r="782" spans="1:4" x14ac:dyDescent="0.25">
      <c r="A782" t="str">
        <f>T("   151590")</f>
        <v xml:space="preserve">   151590</v>
      </c>
      <c r="B782" t="s">
        <v>17</v>
      </c>
      <c r="C782">
        <v>329416548</v>
      </c>
      <c r="D782">
        <v>593656</v>
      </c>
    </row>
    <row r="783" spans="1:4" x14ac:dyDescent="0.25">
      <c r="A783" t="str">
        <f>T("   490199")</f>
        <v xml:space="preserve">   490199</v>
      </c>
      <c r="B78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83">
        <v>400000</v>
      </c>
      <c r="D783">
        <v>200</v>
      </c>
    </row>
    <row r="784" spans="1:4" x14ac:dyDescent="0.25">
      <c r="A784" t="str">
        <f>T("   520100")</f>
        <v xml:space="preserve">   520100</v>
      </c>
      <c r="B784" t="str">
        <f>T("   COTON, NON-CARDÉ NI PEIGNÉ")</f>
        <v xml:space="preserve">   COTON, NON-CARDÉ NI PEIGNÉ</v>
      </c>
      <c r="C784">
        <v>3131350</v>
      </c>
      <c r="D784">
        <v>388100</v>
      </c>
    </row>
    <row r="785" spans="1:4" x14ac:dyDescent="0.25">
      <c r="A785" t="str">
        <f>T("   520299")</f>
        <v xml:space="preserve">   520299</v>
      </c>
      <c r="B785" t="str">
        <f>T("   Déchets de coton (à l'excl. des déchets de fils et des effilochés)")</f>
        <v xml:space="preserve">   Déchets de coton (à l'excl. des déchets de fils et des effilochés)</v>
      </c>
      <c r="C785">
        <v>2203550</v>
      </c>
      <c r="D785">
        <v>272960</v>
      </c>
    </row>
    <row r="786" spans="1:4" x14ac:dyDescent="0.25">
      <c r="A786" t="str">
        <f>T("   560811")</f>
        <v xml:space="preserve">   560811</v>
      </c>
      <c r="B786"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786">
        <v>507745</v>
      </c>
      <c r="D786">
        <v>5</v>
      </c>
    </row>
    <row r="787" spans="1:4" x14ac:dyDescent="0.25">
      <c r="A787" t="str">
        <f>T("   620590")</f>
        <v xml:space="preserve">   620590</v>
      </c>
      <c r="B78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87">
        <v>1000000</v>
      </c>
      <c r="D787">
        <v>650</v>
      </c>
    </row>
    <row r="788" spans="1:4" x14ac:dyDescent="0.25">
      <c r="A788" t="str">
        <f>T("   650699")</f>
        <v xml:space="preserve">   650699</v>
      </c>
      <c r="B788" t="str">
        <f>T("   Chapeaux et autres coiffures, même garnis, n.d.a.")</f>
        <v xml:space="preserve">   Chapeaux et autres coiffures, même garnis, n.d.a.</v>
      </c>
      <c r="C788">
        <v>223255</v>
      </c>
      <c r="D788">
        <v>54</v>
      </c>
    </row>
    <row r="789" spans="1:4" x14ac:dyDescent="0.25">
      <c r="A789" t="str">
        <f>T("   720449")</f>
        <v xml:space="preserve">   720449</v>
      </c>
      <c r="B789" t="s">
        <v>64</v>
      </c>
      <c r="C789">
        <v>4750000</v>
      </c>
      <c r="D789">
        <v>95000</v>
      </c>
    </row>
    <row r="790" spans="1:4" x14ac:dyDescent="0.25">
      <c r="A790" t="str">
        <f>T("   732394")</f>
        <v xml:space="preserve">   732394</v>
      </c>
      <c r="B790" t="s">
        <v>72</v>
      </c>
      <c r="C790">
        <v>1200000</v>
      </c>
      <c r="D790">
        <v>750</v>
      </c>
    </row>
    <row r="791" spans="1:4" x14ac:dyDescent="0.25">
      <c r="A791" t="str">
        <f>T("   842920")</f>
        <v xml:space="preserve">   842920</v>
      </c>
      <c r="B791" t="str">
        <f>T("   Niveleuses autopropulsées")</f>
        <v xml:space="preserve">   Niveleuses autopropulsées</v>
      </c>
      <c r="C791">
        <v>40000000</v>
      </c>
      <c r="D791">
        <v>35456</v>
      </c>
    </row>
    <row r="792" spans="1:4" x14ac:dyDescent="0.25">
      <c r="A792" t="str">
        <f>T("   842951")</f>
        <v xml:space="preserve">   842951</v>
      </c>
      <c r="B792" t="str">
        <f>T("   Chargeuses et chargeuses-pelleteuses, à chargement frontal, autopropulsées")</f>
        <v xml:space="preserve">   Chargeuses et chargeuses-pelleteuses, à chargement frontal, autopropulsées</v>
      </c>
      <c r="C792">
        <v>15000000</v>
      </c>
      <c r="D792">
        <v>18840</v>
      </c>
    </row>
    <row r="793" spans="1:4" x14ac:dyDescent="0.25">
      <c r="A793" t="str">
        <f>T("   842959")</f>
        <v xml:space="preserve">   842959</v>
      </c>
      <c r="B793"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93">
        <v>134307810</v>
      </c>
      <c r="D793">
        <v>87000</v>
      </c>
    </row>
    <row r="794" spans="1:4" x14ac:dyDescent="0.25">
      <c r="A794" t="str">
        <f>T("   847439")</f>
        <v xml:space="preserve">   847439</v>
      </c>
      <c r="B794"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794">
        <v>9247115</v>
      </c>
      <c r="D794">
        <v>17050</v>
      </c>
    </row>
    <row r="795" spans="1:4" x14ac:dyDescent="0.25">
      <c r="A795" t="str">
        <f>T("   850211")</f>
        <v xml:space="preserve">   850211</v>
      </c>
      <c r="B795" t="s">
        <v>91</v>
      </c>
      <c r="C795">
        <v>51656850</v>
      </c>
      <c r="D795">
        <v>14700</v>
      </c>
    </row>
    <row r="796" spans="1:4" x14ac:dyDescent="0.25">
      <c r="A796" t="str">
        <f>T("   870130")</f>
        <v xml:space="preserve">   870130</v>
      </c>
      <c r="B796" t="str">
        <f>T("   Tracteurs à chenilles (sauf motoculteurs à chenille)")</f>
        <v xml:space="preserve">   Tracteurs à chenilles (sauf motoculteurs à chenille)</v>
      </c>
      <c r="C796">
        <v>102474072</v>
      </c>
      <c r="D796">
        <v>18825</v>
      </c>
    </row>
    <row r="797" spans="1:4" x14ac:dyDescent="0.25">
      <c r="A797" t="str">
        <f>T("   870322")</f>
        <v xml:space="preserve">   870322</v>
      </c>
      <c r="B797" t="s">
        <v>97</v>
      </c>
      <c r="C797">
        <v>900000</v>
      </c>
      <c r="D797">
        <v>1400</v>
      </c>
    </row>
    <row r="798" spans="1:4" x14ac:dyDescent="0.25">
      <c r="A798" t="str">
        <f>T("   890399")</f>
        <v xml:space="preserve">   890399</v>
      </c>
      <c r="B798"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798">
        <v>1314013</v>
      </c>
      <c r="D798">
        <v>1091</v>
      </c>
    </row>
    <row r="799" spans="1:4" x14ac:dyDescent="0.25">
      <c r="A799" t="str">
        <f>T("   901580")</f>
        <v xml:space="preserve">   901580</v>
      </c>
      <c r="B799" t="s">
        <v>107</v>
      </c>
      <c r="C799">
        <v>92738640</v>
      </c>
      <c r="D799">
        <v>1950</v>
      </c>
    </row>
    <row r="800" spans="1:4" x14ac:dyDescent="0.25">
      <c r="A800" t="str">
        <f>T("   940350")</f>
        <v xml:space="preserve">   940350</v>
      </c>
      <c r="B800" t="str">
        <f>T("   Meubles pour chambres à coucher, en bois (sauf sièges)")</f>
        <v xml:space="preserve">   Meubles pour chambres à coucher, en bois (sauf sièges)</v>
      </c>
      <c r="C800">
        <v>900000</v>
      </c>
      <c r="D800">
        <v>1000</v>
      </c>
    </row>
    <row r="801" spans="1:4" x14ac:dyDescent="0.25">
      <c r="A801" t="str">
        <f>T("PK")</f>
        <v>PK</v>
      </c>
      <c r="B801" t="str">
        <f>T("Pakistan")</f>
        <v>Pakistan</v>
      </c>
    </row>
    <row r="802" spans="1:4" x14ac:dyDescent="0.25">
      <c r="A802" t="str">
        <f>T("   ZZ_Total_Produit_SH6")</f>
        <v xml:space="preserve">   ZZ_Total_Produit_SH6</v>
      </c>
      <c r="B802" t="str">
        <f>T("   ZZ_Total_Produit_SH6")</f>
        <v xml:space="preserve">   ZZ_Total_Produit_SH6</v>
      </c>
      <c r="C802">
        <v>983102487</v>
      </c>
      <c r="D802">
        <v>1391784</v>
      </c>
    </row>
    <row r="803" spans="1:4" x14ac:dyDescent="0.25">
      <c r="A803" t="str">
        <f>T("   410530")</f>
        <v xml:space="preserve">   410530</v>
      </c>
      <c r="B803" t="str">
        <f>T("   PEAUX D'OVINS, À L'ÉTAT SEC [EN CROÛTE], ÉPILÉES, MÊME REFENDUES (SAUF AUTREMENT PRÉPARÉÉS AINSI QUE SIMPL. PRÉTANNÉES)")</f>
        <v xml:space="preserve">   PEAUX D'OVINS, À L'ÉTAT SEC [EN CROÛTE], ÉPILÉES, MÊME REFENDUES (SAUF AUTREMENT PRÉPARÉÉS AINSI QUE SIMPL. PRÉTANNÉES)</v>
      </c>
      <c r="C803">
        <v>14700000</v>
      </c>
      <c r="D803">
        <v>8140</v>
      </c>
    </row>
    <row r="804" spans="1:4" x14ac:dyDescent="0.25">
      <c r="A804" t="str">
        <f>T("   440729")</f>
        <v xml:space="preserve">   440729</v>
      </c>
      <c r="B804" t="s">
        <v>47</v>
      </c>
      <c r="C804">
        <v>974000</v>
      </c>
      <c r="D804">
        <v>39400</v>
      </c>
    </row>
    <row r="805" spans="1:4" x14ac:dyDescent="0.25">
      <c r="A805" t="str">
        <f>T("   520100")</f>
        <v xml:space="preserve">   520100</v>
      </c>
      <c r="B805" t="str">
        <f>T("   COTON, NON-CARDÉ NI PEIGNÉ")</f>
        <v xml:space="preserve">   COTON, NON-CARDÉ NI PEIGNÉ</v>
      </c>
      <c r="C805">
        <v>937212572</v>
      </c>
      <c r="D805">
        <v>1213367</v>
      </c>
    </row>
    <row r="806" spans="1:4" x14ac:dyDescent="0.25">
      <c r="A806" t="str">
        <f>T("   520210")</f>
        <v xml:space="preserve">   520210</v>
      </c>
      <c r="B806" t="str">
        <f>T("   Déchets de fils de coton")</f>
        <v xml:space="preserve">   Déchets de fils de coton</v>
      </c>
      <c r="C806">
        <v>26715915</v>
      </c>
      <c r="D806">
        <v>60877</v>
      </c>
    </row>
    <row r="807" spans="1:4" x14ac:dyDescent="0.25">
      <c r="A807" t="str">
        <f>T("   720449")</f>
        <v xml:space="preserve">   720449</v>
      </c>
      <c r="B807" t="s">
        <v>64</v>
      </c>
      <c r="C807">
        <v>3500000</v>
      </c>
      <c r="D807">
        <v>70000</v>
      </c>
    </row>
    <row r="808" spans="1:4" x14ac:dyDescent="0.25">
      <c r="A808" t="str">
        <f>T("PT")</f>
        <v>PT</v>
      </c>
      <c r="B808" t="str">
        <f>T("Portugal")</f>
        <v>Portugal</v>
      </c>
    </row>
    <row r="809" spans="1:4" x14ac:dyDescent="0.25">
      <c r="A809" t="str">
        <f>T("   ZZ_Total_Produit_SH6")</f>
        <v xml:space="preserve">   ZZ_Total_Produit_SH6</v>
      </c>
      <c r="B809" t="str">
        <f>T("   ZZ_Total_Produit_SH6")</f>
        <v xml:space="preserve">   ZZ_Total_Produit_SH6</v>
      </c>
      <c r="C809">
        <v>1219924279</v>
      </c>
      <c r="D809">
        <v>1604736</v>
      </c>
    </row>
    <row r="810" spans="1:4" x14ac:dyDescent="0.25">
      <c r="A810" t="str">
        <f>T("   520100")</f>
        <v xml:space="preserve">   520100</v>
      </c>
      <c r="B810" t="str">
        <f>T("   COTON, NON-CARDÉ NI PEIGNÉ")</f>
        <v xml:space="preserve">   COTON, NON-CARDÉ NI PEIGNÉ</v>
      </c>
      <c r="C810">
        <v>1216577145</v>
      </c>
      <c r="D810">
        <v>1596371</v>
      </c>
    </row>
    <row r="811" spans="1:4" x14ac:dyDescent="0.25">
      <c r="A811" t="str">
        <f>T("   520291")</f>
        <v xml:space="preserve">   520291</v>
      </c>
      <c r="B811" t="str">
        <f>T("   Effilochés de coton")</f>
        <v xml:space="preserve">   Effilochés de coton</v>
      </c>
      <c r="C811">
        <v>3347134</v>
      </c>
      <c r="D811">
        <v>8365</v>
      </c>
    </row>
    <row r="812" spans="1:4" x14ac:dyDescent="0.25">
      <c r="A812" t="str">
        <f>T("RW")</f>
        <v>RW</v>
      </c>
      <c r="B812" t="str">
        <f>T("Rwanda")</f>
        <v>Rwanda</v>
      </c>
    </row>
    <row r="813" spans="1:4" x14ac:dyDescent="0.25">
      <c r="A813" t="str">
        <f>T("   ZZ_Total_Produit_SH6")</f>
        <v xml:space="preserve">   ZZ_Total_Produit_SH6</v>
      </c>
      <c r="B813" t="str">
        <f>T("   ZZ_Total_Produit_SH6")</f>
        <v xml:space="preserve">   ZZ_Total_Produit_SH6</v>
      </c>
      <c r="C813">
        <v>3000000</v>
      </c>
      <c r="D813">
        <v>5000</v>
      </c>
    </row>
    <row r="814" spans="1:4" x14ac:dyDescent="0.25">
      <c r="A814" t="str">
        <f>T("   620590")</f>
        <v xml:space="preserve">   620590</v>
      </c>
      <c r="B81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14">
        <v>800000</v>
      </c>
      <c r="D814">
        <v>1400</v>
      </c>
    </row>
    <row r="815" spans="1:4" x14ac:dyDescent="0.25">
      <c r="A815" t="str">
        <f>T("   732394")</f>
        <v xml:space="preserve">   732394</v>
      </c>
      <c r="B815" t="s">
        <v>72</v>
      </c>
      <c r="C815">
        <v>500000</v>
      </c>
      <c r="D815">
        <v>700</v>
      </c>
    </row>
    <row r="816" spans="1:4" x14ac:dyDescent="0.25">
      <c r="A816" t="str">
        <f>T("   940350")</f>
        <v xml:space="preserve">   940350</v>
      </c>
      <c r="B816" t="str">
        <f>T("   Meubles pour chambres à coucher, en bois (sauf sièges)")</f>
        <v xml:space="preserve">   Meubles pour chambres à coucher, en bois (sauf sièges)</v>
      </c>
      <c r="C816">
        <v>1500000</v>
      </c>
      <c r="D816">
        <v>2800</v>
      </c>
    </row>
    <row r="817" spans="1:4" x14ac:dyDescent="0.25">
      <c r="A817" t="str">
        <f>T("   950299")</f>
        <v xml:space="preserve">   950299</v>
      </c>
      <c r="B817" t="str">
        <f>T("   Parties et accessoires pour poupées représentant uniquement l'être humain, n.d.a.")</f>
        <v xml:space="preserve">   Parties et accessoires pour poupées représentant uniquement l'être humain, n.d.a.</v>
      </c>
      <c r="C817">
        <v>200000</v>
      </c>
      <c r="D817">
        <v>100</v>
      </c>
    </row>
    <row r="818" spans="1:4" x14ac:dyDescent="0.25">
      <c r="A818" t="str">
        <f>T("SG")</f>
        <v>SG</v>
      </c>
      <c r="B818" t="str">
        <f>T("Singapour")</f>
        <v>Singapour</v>
      </c>
    </row>
    <row r="819" spans="1:4" x14ac:dyDescent="0.25">
      <c r="A819" t="str">
        <f>T("   ZZ_Total_Produit_SH6")</f>
        <v xml:space="preserve">   ZZ_Total_Produit_SH6</v>
      </c>
      <c r="B819" t="str">
        <f>T("   ZZ_Total_Produit_SH6")</f>
        <v xml:space="preserve">   ZZ_Total_Produit_SH6</v>
      </c>
      <c r="C819">
        <v>951378255</v>
      </c>
      <c r="D819">
        <v>1818204</v>
      </c>
    </row>
    <row r="820" spans="1:4" x14ac:dyDescent="0.25">
      <c r="A820" t="str">
        <f>T("   080131")</f>
        <v xml:space="preserve">   080131</v>
      </c>
      <c r="B820" t="str">
        <f>T("   Noix de cajou, fraîches ou sèches, en coques")</f>
        <v xml:space="preserve">   Noix de cajou, fraîches ou sèches, en coques</v>
      </c>
      <c r="C820">
        <v>951378255</v>
      </c>
      <c r="D820">
        <v>1818204</v>
      </c>
    </row>
    <row r="821" spans="1:4" x14ac:dyDescent="0.25">
      <c r="A821" t="str">
        <f>T("SL")</f>
        <v>SL</v>
      </c>
      <c r="B821" t="str">
        <f>T("Sierra Leone")</f>
        <v>Sierra Leone</v>
      </c>
    </row>
    <row r="822" spans="1:4" x14ac:dyDescent="0.25">
      <c r="A822" t="str">
        <f>T("   ZZ_Total_Produit_SH6")</f>
        <v xml:space="preserve">   ZZ_Total_Produit_SH6</v>
      </c>
      <c r="B822" t="str">
        <f>T("   ZZ_Total_Produit_SH6")</f>
        <v xml:space="preserve">   ZZ_Total_Produit_SH6</v>
      </c>
      <c r="C822">
        <v>45261033</v>
      </c>
      <c r="D822">
        <v>392</v>
      </c>
    </row>
    <row r="823" spans="1:4" x14ac:dyDescent="0.25">
      <c r="A823" t="str">
        <f>T("   120710")</f>
        <v xml:space="preserve">   120710</v>
      </c>
      <c r="B823" t="str">
        <f>T("   NOIX ET AMANDES DE PALMISTES")</f>
        <v xml:space="preserve">   NOIX ET AMANDES DE PALMISTES</v>
      </c>
      <c r="C823">
        <v>45261033</v>
      </c>
      <c r="D823">
        <v>392</v>
      </c>
    </row>
    <row r="824" spans="1:4" x14ac:dyDescent="0.25">
      <c r="A824" t="str">
        <f>T("SN")</f>
        <v>SN</v>
      </c>
      <c r="B824" t="str">
        <f>T("Sénégal")</f>
        <v>Sénégal</v>
      </c>
    </row>
    <row r="825" spans="1:4" x14ac:dyDescent="0.25">
      <c r="A825" t="str">
        <f>T("   ZZ_Total_Produit_SH6")</f>
        <v xml:space="preserve">   ZZ_Total_Produit_SH6</v>
      </c>
      <c r="B825" t="str">
        <f>T("   ZZ_Total_Produit_SH6")</f>
        <v xml:space="preserve">   ZZ_Total_Produit_SH6</v>
      </c>
      <c r="C825">
        <v>73559000</v>
      </c>
      <c r="D825">
        <v>100438.3</v>
      </c>
    </row>
    <row r="826" spans="1:4" x14ac:dyDescent="0.25">
      <c r="A826" t="str">
        <f>T("   080290")</f>
        <v xml:space="preserve">   080290</v>
      </c>
      <c r="B826"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826">
        <v>1224000</v>
      </c>
      <c r="D826">
        <v>4080</v>
      </c>
    </row>
    <row r="827" spans="1:4" x14ac:dyDescent="0.25">
      <c r="A827" t="str">
        <f>T("   090420")</f>
        <v xml:space="preserve">   090420</v>
      </c>
      <c r="B827" t="str">
        <f>T("   Piments du genre 'Capsicum' ou du genre 'Pimenta', séchés ou broyés ou pulvérisés")</f>
        <v xml:space="preserve">   Piments du genre 'Capsicum' ou du genre 'Pimenta', séchés ou broyés ou pulvérisés</v>
      </c>
      <c r="C827">
        <v>6021980</v>
      </c>
      <c r="D827">
        <v>12458</v>
      </c>
    </row>
    <row r="828" spans="1:4" x14ac:dyDescent="0.25">
      <c r="A828" t="str">
        <f>T("   110620")</f>
        <v xml:space="preserve">   110620</v>
      </c>
      <c r="B828" t="str">
        <f>T("   Farines, semoules et poudres de sagou ou des racines ou tubercules du n° 0714")</f>
        <v xml:space="preserve">   Farines, semoules et poudres de sagou ou des racines ou tubercules du n° 0714</v>
      </c>
      <c r="C828">
        <v>3900000</v>
      </c>
      <c r="D828">
        <v>13000</v>
      </c>
    </row>
    <row r="829" spans="1:4" x14ac:dyDescent="0.25">
      <c r="A829" t="str">
        <f>T("   151110")</f>
        <v xml:space="preserve">   151110</v>
      </c>
      <c r="B829" t="str">
        <f>T("   Huile de palme, brute")</f>
        <v xml:space="preserve">   Huile de palme, brute</v>
      </c>
      <c r="C829">
        <v>120000</v>
      </c>
      <c r="D829">
        <v>400</v>
      </c>
    </row>
    <row r="830" spans="1:4" x14ac:dyDescent="0.25">
      <c r="A830" t="str">
        <f>T("   200939")</f>
        <v xml:space="preserve">   200939</v>
      </c>
      <c r="B830"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830">
        <v>1492800</v>
      </c>
      <c r="D830">
        <v>13330</v>
      </c>
    </row>
    <row r="831" spans="1:4" x14ac:dyDescent="0.25">
      <c r="A831" t="str">
        <f>T("   210690")</f>
        <v xml:space="preserve">   210690</v>
      </c>
      <c r="B831" t="str">
        <f>T("   Préparations alimentaires, n.d.a.")</f>
        <v xml:space="preserve">   Préparations alimentaires, n.d.a.</v>
      </c>
      <c r="C831">
        <v>48800000</v>
      </c>
      <c r="D831">
        <v>16000</v>
      </c>
    </row>
    <row r="832" spans="1:4" x14ac:dyDescent="0.25">
      <c r="A832" t="str">
        <f>T("   620590")</f>
        <v xml:space="preserve">   620590</v>
      </c>
      <c r="B83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32">
        <v>1600000</v>
      </c>
      <c r="D832">
        <v>1100</v>
      </c>
    </row>
    <row r="833" spans="1:4" x14ac:dyDescent="0.25">
      <c r="A833" t="str">
        <f>T("   732394")</f>
        <v xml:space="preserve">   732394</v>
      </c>
      <c r="B833" t="s">
        <v>72</v>
      </c>
      <c r="C833">
        <v>900000</v>
      </c>
      <c r="D833">
        <v>700</v>
      </c>
    </row>
    <row r="834" spans="1:4" x14ac:dyDescent="0.25">
      <c r="A834" t="str">
        <f>T("   732399")</f>
        <v xml:space="preserve">   732399</v>
      </c>
      <c r="B834" t="s">
        <v>73</v>
      </c>
      <c r="C834">
        <v>100000</v>
      </c>
      <c r="D834">
        <v>10000</v>
      </c>
    </row>
    <row r="835" spans="1:4" x14ac:dyDescent="0.25">
      <c r="A835" t="str">
        <f>T("   841829")</f>
        <v xml:space="preserve">   841829</v>
      </c>
      <c r="B835" t="str">
        <f>T("   Réfrigérateurs ménagers à absorption, non-électriques")</f>
        <v xml:space="preserve">   Réfrigérateurs ménagers à absorption, non-électriques</v>
      </c>
      <c r="C835">
        <v>3025000</v>
      </c>
      <c r="D835">
        <v>6000</v>
      </c>
    </row>
    <row r="836" spans="1:4" x14ac:dyDescent="0.25">
      <c r="A836" t="str">
        <f>T("   843810")</f>
        <v xml:space="preserve">   843810</v>
      </c>
      <c r="B836" t="s">
        <v>84</v>
      </c>
      <c r="C836">
        <v>3350000</v>
      </c>
      <c r="D836">
        <v>17000</v>
      </c>
    </row>
    <row r="837" spans="1:4" x14ac:dyDescent="0.25">
      <c r="A837" t="str">
        <f>T("   848590")</f>
        <v xml:space="preserve">   848590</v>
      </c>
      <c r="B837" t="str">
        <f>T("   Parties de machines et appareils du chapitre 84, sans caractéristiques spéciales d'utilisation, n.d.a.")</f>
        <v xml:space="preserve">   Parties de machines et appareils du chapitre 84, sans caractéristiques spéciales d'utilisation, n.d.a.</v>
      </c>
      <c r="C837">
        <v>575220</v>
      </c>
      <c r="D837">
        <v>2490.3000000000002</v>
      </c>
    </row>
    <row r="838" spans="1:4" x14ac:dyDescent="0.25">
      <c r="A838" t="str">
        <f>T("   850211")</f>
        <v xml:space="preserve">   850211</v>
      </c>
      <c r="B838" t="s">
        <v>91</v>
      </c>
      <c r="C838">
        <v>700000</v>
      </c>
      <c r="D838">
        <v>2000</v>
      </c>
    </row>
    <row r="839" spans="1:4" x14ac:dyDescent="0.25">
      <c r="A839" t="str">
        <f>T("   940340")</f>
        <v xml:space="preserve">   940340</v>
      </c>
      <c r="B839" t="str">
        <f>T("   Meubles de cuisine, en bois (sauf sièges)")</f>
        <v xml:space="preserve">   Meubles de cuisine, en bois (sauf sièges)</v>
      </c>
      <c r="C839">
        <v>250000</v>
      </c>
      <c r="D839">
        <v>1000</v>
      </c>
    </row>
    <row r="840" spans="1:4" x14ac:dyDescent="0.25">
      <c r="A840" t="str">
        <f>T("   940350")</f>
        <v xml:space="preserve">   940350</v>
      </c>
      <c r="B840" t="str">
        <f>T("   Meubles pour chambres à coucher, en bois (sauf sièges)")</f>
        <v xml:space="preserve">   Meubles pour chambres à coucher, en bois (sauf sièges)</v>
      </c>
      <c r="C840">
        <v>1500000</v>
      </c>
      <c r="D840">
        <v>880</v>
      </c>
    </row>
    <row r="841" spans="1:4" x14ac:dyDescent="0.25">
      <c r="A841" t="str">
        <f>T("SY")</f>
        <v>SY</v>
      </c>
      <c r="B841" t="str">
        <f>T("Syrienne, République arabe")</f>
        <v>Syrienne, République arabe</v>
      </c>
    </row>
    <row r="842" spans="1:4" x14ac:dyDescent="0.25">
      <c r="A842" t="str">
        <f>T("   ZZ_Total_Produit_SH6")</f>
        <v xml:space="preserve">   ZZ_Total_Produit_SH6</v>
      </c>
      <c r="B842" t="str">
        <f>T("   ZZ_Total_Produit_SH6")</f>
        <v xml:space="preserve">   ZZ_Total_Produit_SH6</v>
      </c>
      <c r="C842">
        <v>2510000</v>
      </c>
      <c r="D842">
        <v>48000</v>
      </c>
    </row>
    <row r="843" spans="1:4" x14ac:dyDescent="0.25">
      <c r="A843" t="str">
        <f>T("   720449")</f>
        <v xml:space="preserve">   720449</v>
      </c>
      <c r="B843" t="s">
        <v>64</v>
      </c>
      <c r="C843">
        <v>2510000</v>
      </c>
      <c r="D843">
        <v>48000</v>
      </c>
    </row>
    <row r="844" spans="1:4" x14ac:dyDescent="0.25">
      <c r="A844" t="str">
        <f>T("TD")</f>
        <v>TD</v>
      </c>
      <c r="B844" t="str">
        <f>T("Tchad")</f>
        <v>Tchad</v>
      </c>
    </row>
    <row r="845" spans="1:4" x14ac:dyDescent="0.25">
      <c r="A845" t="str">
        <f>T("   ZZ_Total_Produit_SH6")</f>
        <v xml:space="preserve">   ZZ_Total_Produit_SH6</v>
      </c>
      <c r="B845" t="str">
        <f>T("   ZZ_Total_Produit_SH6")</f>
        <v xml:space="preserve">   ZZ_Total_Produit_SH6</v>
      </c>
      <c r="C845">
        <v>17597802826</v>
      </c>
      <c r="D845">
        <v>43009849</v>
      </c>
    </row>
    <row r="846" spans="1:4" x14ac:dyDescent="0.25">
      <c r="A846" t="str">
        <f>T("   320890")</f>
        <v xml:space="preserve">   320890</v>
      </c>
      <c r="B846" t="s">
        <v>32</v>
      </c>
      <c r="C846">
        <v>26619753</v>
      </c>
      <c r="D846">
        <v>9921</v>
      </c>
    </row>
    <row r="847" spans="1:4" x14ac:dyDescent="0.25">
      <c r="A847" t="str">
        <f>T("   391721")</f>
        <v xml:space="preserve">   391721</v>
      </c>
      <c r="B847" t="str">
        <f>T("   TUBES ET TUYAUX RIGIDES, EN POLYMÈRES DE L'ÉTHYLÈNE")</f>
        <v xml:space="preserve">   TUBES ET TUYAUX RIGIDES, EN POLYMÈRES DE L'ÉTHYLÈNE</v>
      </c>
      <c r="C847">
        <v>42560000</v>
      </c>
      <c r="D847">
        <v>36000</v>
      </c>
    </row>
    <row r="848" spans="1:4" x14ac:dyDescent="0.25">
      <c r="A848" t="str">
        <f>T("   620590")</f>
        <v xml:space="preserve">   620590</v>
      </c>
      <c r="B84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48">
        <v>500000</v>
      </c>
      <c r="D848">
        <v>1700</v>
      </c>
    </row>
    <row r="849" spans="1:4" x14ac:dyDescent="0.25">
      <c r="A849" t="str">
        <f>T("   720839")</f>
        <v xml:space="preserve">   720839</v>
      </c>
      <c r="B84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849">
        <v>269460000</v>
      </c>
      <c r="D849">
        <v>468000</v>
      </c>
    </row>
    <row r="850" spans="1:4" x14ac:dyDescent="0.25">
      <c r="A850" t="str">
        <f>T("   720916")</f>
        <v xml:space="preserve">   720916</v>
      </c>
      <c r="B850" t="str">
        <f>T("   PRODUITS LAMINÉS PLATS, EN FER OU EN ACIERS NON-ALLIÉS, D'UNE LARGEUR &gt;= 600 MM, NON-PLAQUÉS NI REVÊTUS, ENROULÉS, SIMPL. LAMINÉS À FROID, D'UNE ÉPAISSEUR &gt; 1 MM MAIS &lt; 3 MM")</f>
        <v xml:space="preserve">   PRODUITS LAMINÉS PLATS, EN FER OU EN ACIERS NON-ALLIÉS, D'UNE LARGEUR &gt;= 600 MM, NON-PLAQUÉS NI REVÊTUS, ENROULÉS, SIMPL. LAMINÉS À FROID, D'UNE ÉPAISSEUR &gt; 1 MM MAIS &lt; 3 MM</v>
      </c>
      <c r="C850">
        <v>105526720</v>
      </c>
      <c r="D850">
        <v>197012</v>
      </c>
    </row>
    <row r="851" spans="1:4" x14ac:dyDescent="0.25">
      <c r="A851" t="str">
        <f>T("   720917")</f>
        <v xml:space="preserve">   720917</v>
      </c>
      <c r="B851"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851">
        <v>89473280</v>
      </c>
      <c r="D851">
        <v>142988</v>
      </c>
    </row>
    <row r="852" spans="1:4" x14ac:dyDescent="0.25">
      <c r="A852" t="str">
        <f>T("   720990")</f>
        <v xml:space="preserve">   720990</v>
      </c>
      <c r="B852"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852">
        <v>125400000</v>
      </c>
      <c r="D852">
        <v>228000</v>
      </c>
    </row>
    <row r="853" spans="1:4" x14ac:dyDescent="0.25">
      <c r="A853" t="str">
        <f>T("   721041")</f>
        <v xml:space="preserve">   721041</v>
      </c>
      <c r="B853"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53">
        <v>2811800</v>
      </c>
      <c r="D853">
        <v>4135</v>
      </c>
    </row>
    <row r="854" spans="1:4" x14ac:dyDescent="0.25">
      <c r="A854" t="str">
        <f>T("   721049")</f>
        <v xml:space="preserve">   721049</v>
      </c>
      <c r="B854"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54">
        <v>22627230</v>
      </c>
      <c r="D854">
        <v>37000</v>
      </c>
    </row>
    <row r="855" spans="1:4" x14ac:dyDescent="0.25">
      <c r="A855" t="str">
        <f>T("   721391")</f>
        <v xml:space="preserve">   721391</v>
      </c>
      <c r="B855"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55">
        <v>6545892418</v>
      </c>
      <c r="D855">
        <v>18103250</v>
      </c>
    </row>
    <row r="856" spans="1:4" x14ac:dyDescent="0.25">
      <c r="A856" t="str">
        <f>T("   721399")</f>
        <v xml:space="preserve">   721399</v>
      </c>
      <c r="B856" t="s">
        <v>65</v>
      </c>
      <c r="C856">
        <v>1475159848</v>
      </c>
      <c r="D856">
        <v>3622000</v>
      </c>
    </row>
    <row r="857" spans="1:4" x14ac:dyDescent="0.25">
      <c r="A857" t="str">
        <f>T("   721590")</f>
        <v xml:space="preserve">   721590</v>
      </c>
      <c r="B857"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57">
        <v>8040822500</v>
      </c>
      <c r="D857">
        <v>18366000</v>
      </c>
    </row>
    <row r="858" spans="1:4" x14ac:dyDescent="0.25">
      <c r="A858" t="str">
        <f>T("   721720")</f>
        <v xml:space="preserve">   721720</v>
      </c>
      <c r="B858" t="str">
        <f>T("   FILS EN FER OU EN ACIERS NON-ALLIÉS, ENROULÉS, ZINGUÉS (À L'EXCL. DU FIL MACHINE)")</f>
        <v xml:space="preserve">   FILS EN FER OU EN ACIERS NON-ALLIÉS, ENROULÉS, ZINGUÉS (À L'EXCL. DU FIL MACHINE)</v>
      </c>
      <c r="C858">
        <v>374288209</v>
      </c>
      <c r="D858">
        <v>919000</v>
      </c>
    </row>
    <row r="859" spans="1:4" x14ac:dyDescent="0.25">
      <c r="A859" t="str">
        <f>T("   721790")</f>
        <v xml:space="preserve">   721790</v>
      </c>
      <c r="B859"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59">
        <v>23790000</v>
      </c>
      <c r="D859">
        <v>43000</v>
      </c>
    </row>
    <row r="860" spans="1:4" x14ac:dyDescent="0.25">
      <c r="A860" t="str">
        <f>T("   731700")</f>
        <v xml:space="preserve">   731700</v>
      </c>
      <c r="B860"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60">
        <v>447330000</v>
      </c>
      <c r="D860">
        <v>824000</v>
      </c>
    </row>
    <row r="861" spans="1:4" x14ac:dyDescent="0.25">
      <c r="A861" t="str">
        <f>T("   732394")</f>
        <v xml:space="preserve">   732394</v>
      </c>
      <c r="B861" t="s">
        <v>72</v>
      </c>
      <c r="C861">
        <v>700000</v>
      </c>
      <c r="D861">
        <v>2200</v>
      </c>
    </row>
    <row r="862" spans="1:4" x14ac:dyDescent="0.25">
      <c r="A862" t="str">
        <f>T("   870323")</f>
        <v xml:space="preserve">   870323</v>
      </c>
      <c r="B862" t="s">
        <v>98</v>
      </c>
      <c r="C862">
        <v>3041068</v>
      </c>
      <c r="D862">
        <v>1843</v>
      </c>
    </row>
    <row r="863" spans="1:4" x14ac:dyDescent="0.25">
      <c r="A863" t="str">
        <f>T("   940350")</f>
        <v xml:space="preserve">   940350</v>
      </c>
      <c r="B863" t="str">
        <f>T("   Meubles pour chambres à coucher, en bois (sauf sièges)")</f>
        <v xml:space="preserve">   Meubles pour chambres à coucher, en bois (sauf sièges)</v>
      </c>
      <c r="C863">
        <v>1800000</v>
      </c>
      <c r="D863">
        <v>3800</v>
      </c>
    </row>
    <row r="864" spans="1:4" x14ac:dyDescent="0.25">
      <c r="A864" t="str">
        <f>T("TG")</f>
        <v>TG</v>
      </c>
      <c r="B864" t="str">
        <f>T("Togo")</f>
        <v>Togo</v>
      </c>
    </row>
    <row r="865" spans="1:4" x14ac:dyDescent="0.25">
      <c r="A865" t="str">
        <f>T("   ZZ_Total_Produit_SH6")</f>
        <v xml:space="preserve">   ZZ_Total_Produit_SH6</v>
      </c>
      <c r="B865" t="str">
        <f>T("   ZZ_Total_Produit_SH6")</f>
        <v xml:space="preserve">   ZZ_Total_Produit_SH6</v>
      </c>
      <c r="C865">
        <v>2282802135</v>
      </c>
      <c r="D865">
        <v>35648493.82</v>
      </c>
    </row>
    <row r="866" spans="1:4" x14ac:dyDescent="0.25">
      <c r="A866" t="str">
        <f>T("   030379")</f>
        <v xml:space="preserve">   030379</v>
      </c>
      <c r="B866" t="s">
        <v>13</v>
      </c>
      <c r="C866">
        <v>408576000</v>
      </c>
      <c r="D866">
        <v>773601</v>
      </c>
    </row>
    <row r="867" spans="1:4" x14ac:dyDescent="0.25">
      <c r="A867" t="str">
        <f>T("   120799")</f>
        <v xml:space="preserve">   120799</v>
      </c>
      <c r="B867" t="s">
        <v>16</v>
      </c>
      <c r="C867">
        <v>3000000</v>
      </c>
      <c r="D867">
        <v>60000</v>
      </c>
    </row>
    <row r="868" spans="1:4" x14ac:dyDescent="0.25">
      <c r="A868" t="str">
        <f>T("   130213")</f>
        <v xml:space="preserve">   130213</v>
      </c>
      <c r="B868" t="str">
        <f>T("   Extraits de houblon")</f>
        <v xml:space="preserve">   Extraits de houblon</v>
      </c>
      <c r="C868">
        <v>13457187</v>
      </c>
      <c r="D868">
        <v>795</v>
      </c>
    </row>
    <row r="869" spans="1:4" x14ac:dyDescent="0.25">
      <c r="A869" t="str">
        <f>T("   190110")</f>
        <v xml:space="preserve">   190110</v>
      </c>
      <c r="B869" t="s">
        <v>19</v>
      </c>
      <c r="C869">
        <v>840000</v>
      </c>
      <c r="D869">
        <v>700</v>
      </c>
    </row>
    <row r="870" spans="1:4" x14ac:dyDescent="0.25">
      <c r="A870" t="str">
        <f>T("   190230")</f>
        <v xml:space="preserve">   190230</v>
      </c>
      <c r="B870" t="str">
        <f>T("   Pâtes alimentaires, cuites ou autrement préparées (à l'excl. des pâtes alimentaires farcies)")</f>
        <v xml:space="preserve">   Pâtes alimentaires, cuites ou autrement préparées (à l'excl. des pâtes alimentaires farcies)</v>
      </c>
      <c r="C870">
        <v>72000000</v>
      </c>
      <c r="D870">
        <v>180000</v>
      </c>
    </row>
    <row r="871" spans="1:4" x14ac:dyDescent="0.25">
      <c r="A871" t="str">
        <f>T("   190590")</f>
        <v xml:space="preserve">   190590</v>
      </c>
      <c r="B871" t="s">
        <v>20</v>
      </c>
      <c r="C871">
        <v>6160000</v>
      </c>
      <c r="D871">
        <v>4145</v>
      </c>
    </row>
    <row r="872" spans="1:4" x14ac:dyDescent="0.25">
      <c r="A872" t="str">
        <f>T("   210690")</f>
        <v xml:space="preserve">   210690</v>
      </c>
      <c r="B872" t="str">
        <f>T("   Préparations alimentaires, n.d.a.")</f>
        <v xml:space="preserve">   Préparations alimentaires, n.d.a.</v>
      </c>
      <c r="C872">
        <v>5090022</v>
      </c>
      <c r="D872">
        <v>312</v>
      </c>
    </row>
    <row r="873" spans="1:4" x14ac:dyDescent="0.25">
      <c r="A873" t="str">
        <f>T("   220110")</f>
        <v xml:space="preserve">   220110</v>
      </c>
      <c r="B873" t="str">
        <f>T("   Eaux minérales et eaux gazéifiées, non additionnées de sucre ou d'autres édulcorants ni aromatisées")</f>
        <v xml:space="preserve">   Eaux minérales et eaux gazéifiées, non additionnées de sucre ou d'autres édulcorants ni aromatisées</v>
      </c>
      <c r="C873">
        <v>47646717</v>
      </c>
      <c r="D873">
        <v>241574</v>
      </c>
    </row>
    <row r="874" spans="1:4" x14ac:dyDescent="0.25">
      <c r="A874" t="str">
        <f>T("   220190")</f>
        <v xml:space="preserve">   220190</v>
      </c>
      <c r="B874"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874">
        <v>3187000</v>
      </c>
      <c r="D874">
        <v>22000</v>
      </c>
    </row>
    <row r="875" spans="1:4" x14ac:dyDescent="0.25">
      <c r="A875" t="str">
        <f>T("   220210")</f>
        <v xml:space="preserve">   220210</v>
      </c>
      <c r="B875"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75">
        <v>31089808</v>
      </c>
      <c r="D875">
        <v>78795</v>
      </c>
    </row>
    <row r="876" spans="1:4" x14ac:dyDescent="0.25">
      <c r="A876" t="str">
        <f>T("   230400")</f>
        <v xml:space="preserve">   230400</v>
      </c>
      <c r="B876"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876">
        <v>36600000</v>
      </c>
      <c r="D876">
        <v>120000</v>
      </c>
    </row>
    <row r="877" spans="1:4" x14ac:dyDescent="0.25">
      <c r="A877" t="str">
        <f>T("   230610")</f>
        <v xml:space="preserve">   230610</v>
      </c>
      <c r="B877"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877">
        <v>89204145</v>
      </c>
      <c r="D877">
        <v>579940</v>
      </c>
    </row>
    <row r="878" spans="1:4" x14ac:dyDescent="0.25">
      <c r="A878" t="str">
        <f>T("   251200")</f>
        <v xml:space="preserve">   251200</v>
      </c>
      <c r="B878"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878">
        <v>80428</v>
      </c>
      <c r="D878">
        <v>100</v>
      </c>
    </row>
    <row r="879" spans="1:4" x14ac:dyDescent="0.25">
      <c r="A879" t="str">
        <f>T("   251520")</f>
        <v xml:space="preserve">   251520</v>
      </c>
      <c r="B879" t="s">
        <v>25</v>
      </c>
      <c r="C879">
        <v>166850843</v>
      </c>
      <c r="D879">
        <v>10887518</v>
      </c>
    </row>
    <row r="880" spans="1:4" x14ac:dyDescent="0.25">
      <c r="A880" t="str">
        <f>T("   251710")</f>
        <v xml:space="preserve">   251710</v>
      </c>
      <c r="B880"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880">
        <v>300000</v>
      </c>
      <c r="D880">
        <v>12500</v>
      </c>
    </row>
    <row r="881" spans="1:4" x14ac:dyDescent="0.25">
      <c r="A881" t="str">
        <f>T("   271019")</f>
        <v xml:space="preserve">   271019</v>
      </c>
      <c r="B881" t="str">
        <f>T("   Huiles moyennes et préparations, de pétrole ou de minéraux bitumineux, n.d.a.")</f>
        <v xml:space="preserve">   Huiles moyennes et préparations, de pétrole ou de minéraux bitumineux, n.d.a.</v>
      </c>
      <c r="C881">
        <v>1906996</v>
      </c>
      <c r="D881">
        <v>796</v>
      </c>
    </row>
    <row r="882" spans="1:4" x14ac:dyDescent="0.25">
      <c r="A882" t="str">
        <f>T("   271320")</f>
        <v xml:space="preserve">   271320</v>
      </c>
      <c r="B882" t="str">
        <f>T("   Bitume de pétrole")</f>
        <v xml:space="preserve">   Bitume de pétrole</v>
      </c>
      <c r="C882">
        <v>8520000</v>
      </c>
      <c r="D882">
        <v>20000</v>
      </c>
    </row>
    <row r="883" spans="1:4" x14ac:dyDescent="0.25">
      <c r="A883" t="str">
        <f>T("   281122")</f>
        <v xml:space="preserve">   281122</v>
      </c>
      <c r="B883" t="str">
        <f>T("   Dioxyde de silicium")</f>
        <v xml:space="preserve">   Dioxyde de silicium</v>
      </c>
      <c r="C883">
        <v>9000000</v>
      </c>
      <c r="D883">
        <v>6000</v>
      </c>
    </row>
    <row r="884" spans="1:4" x14ac:dyDescent="0.25">
      <c r="A884" t="str">
        <f>T("   300490")</f>
        <v xml:space="preserve">   300490</v>
      </c>
      <c r="B884" t="s">
        <v>29</v>
      </c>
      <c r="C884">
        <v>31930909</v>
      </c>
      <c r="D884">
        <v>3706</v>
      </c>
    </row>
    <row r="885" spans="1:4" x14ac:dyDescent="0.25">
      <c r="A885" t="str">
        <f>T("   300590")</f>
        <v xml:space="preserve">   300590</v>
      </c>
      <c r="B885" t="s">
        <v>30</v>
      </c>
      <c r="C885">
        <v>2851500</v>
      </c>
      <c r="D885">
        <v>1711</v>
      </c>
    </row>
    <row r="886" spans="1:4" x14ac:dyDescent="0.25">
      <c r="A886" t="str">
        <f>T("   320820")</f>
        <v xml:space="preserve">   320820</v>
      </c>
      <c r="B886" t="s">
        <v>31</v>
      </c>
      <c r="C886">
        <v>3232170</v>
      </c>
      <c r="D886">
        <v>400</v>
      </c>
    </row>
    <row r="887" spans="1:4" x14ac:dyDescent="0.25">
      <c r="A887" t="str">
        <f>T("   320890")</f>
        <v xml:space="preserve">   320890</v>
      </c>
      <c r="B887" t="s">
        <v>32</v>
      </c>
      <c r="C887">
        <v>80502766</v>
      </c>
      <c r="D887">
        <v>31766</v>
      </c>
    </row>
    <row r="888" spans="1:4" x14ac:dyDescent="0.25">
      <c r="A888" t="str">
        <f>T("   320910")</f>
        <v xml:space="preserve">   320910</v>
      </c>
      <c r="B888" t="str">
        <f>T("   Peintures et vernis à base de polymères acryliques ou vinyliques, dispersés ou dissous dans un milieu aqueux")</f>
        <v xml:space="preserve">   Peintures et vernis à base de polymères acryliques ou vinyliques, dispersés ou dissous dans un milieu aqueux</v>
      </c>
      <c r="C888">
        <v>9162150</v>
      </c>
      <c r="D888">
        <v>10915</v>
      </c>
    </row>
    <row r="889" spans="1:4" x14ac:dyDescent="0.25">
      <c r="A889" t="str">
        <f>T("   340212")</f>
        <v xml:space="preserve">   340212</v>
      </c>
      <c r="B889" t="str">
        <f>T("   Agents de surface organiques, cationiques, même conditionnés pour la vente au détail (à l'excl. des savons)")</f>
        <v xml:space="preserve">   Agents de surface organiques, cationiques, même conditionnés pour la vente au détail (à l'excl. des savons)</v>
      </c>
      <c r="C889">
        <v>8259000</v>
      </c>
      <c r="D889">
        <v>3000</v>
      </c>
    </row>
    <row r="890" spans="1:4" x14ac:dyDescent="0.25">
      <c r="A890" t="str">
        <f>T("   340219")</f>
        <v xml:space="preserve">   340219</v>
      </c>
      <c r="B890"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890">
        <v>13223517</v>
      </c>
      <c r="D890">
        <v>22535</v>
      </c>
    </row>
    <row r="891" spans="1:4" x14ac:dyDescent="0.25">
      <c r="A891" t="str">
        <f>T("   380890")</f>
        <v xml:space="preserve">   380890</v>
      </c>
      <c r="B891"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891">
        <v>485082</v>
      </c>
      <c r="D891">
        <v>132</v>
      </c>
    </row>
    <row r="892" spans="1:4" x14ac:dyDescent="0.25">
      <c r="A892" t="str">
        <f>T("   381400")</f>
        <v xml:space="preserve">   381400</v>
      </c>
      <c r="B89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92">
        <v>716040</v>
      </c>
      <c r="D892">
        <v>396</v>
      </c>
    </row>
    <row r="893" spans="1:4" x14ac:dyDescent="0.25">
      <c r="A893" t="str">
        <f>T("   382490")</f>
        <v xml:space="preserve">   382490</v>
      </c>
      <c r="B893"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93">
        <v>1851470</v>
      </c>
      <c r="D893">
        <v>23830</v>
      </c>
    </row>
    <row r="894" spans="1:4" x14ac:dyDescent="0.25">
      <c r="A894" t="str">
        <f>T("   390410")</f>
        <v xml:space="preserve">   390410</v>
      </c>
      <c r="B894" t="str">
        <f>T("   Poly[chlorure de vinyle], sous formes primaires, non mélangé à d'autres substances")</f>
        <v xml:space="preserve">   Poly[chlorure de vinyle], sous formes primaires, non mélangé à d'autres substances</v>
      </c>
      <c r="C894">
        <v>46875000</v>
      </c>
      <c r="D894">
        <v>25000</v>
      </c>
    </row>
    <row r="895" spans="1:4" x14ac:dyDescent="0.25">
      <c r="A895" t="str">
        <f>T("   391590")</f>
        <v xml:space="preserve">   391590</v>
      </c>
      <c r="B895"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895">
        <v>5663125</v>
      </c>
      <c r="D895">
        <v>226525</v>
      </c>
    </row>
    <row r="896" spans="1:4" x14ac:dyDescent="0.25">
      <c r="A896" t="str">
        <f>T("   391721")</f>
        <v xml:space="preserve">   391721</v>
      </c>
      <c r="B896" t="str">
        <f>T("   TUBES ET TUYAUX RIGIDES, EN POLYMÈRES DE L'ÉTHYLÈNE")</f>
        <v xml:space="preserve">   TUBES ET TUYAUX RIGIDES, EN POLYMÈRES DE L'ÉTHYLÈNE</v>
      </c>
      <c r="C896">
        <v>86852000</v>
      </c>
      <c r="D896">
        <v>96350</v>
      </c>
    </row>
    <row r="897" spans="1:4" x14ac:dyDescent="0.25">
      <c r="A897" t="str">
        <f>T("   391723")</f>
        <v xml:space="preserve">   391723</v>
      </c>
      <c r="B897" t="str">
        <f>T("   TUBES ET TUYAUX RIGIDES, EN POLYMÈRES DU CHLORURE DE VINYLE")</f>
        <v xml:space="preserve">   TUBES ET TUYAUX RIGIDES, EN POLYMÈRES DU CHLORURE DE VINYLE</v>
      </c>
      <c r="C897">
        <v>49314525</v>
      </c>
      <c r="D897">
        <v>20092760.140000001</v>
      </c>
    </row>
    <row r="898" spans="1:4" x14ac:dyDescent="0.25">
      <c r="A898" t="str">
        <f>T("   391739")</f>
        <v xml:space="preserve">   391739</v>
      </c>
      <c r="B898"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98">
        <v>58880844</v>
      </c>
      <c r="D898">
        <v>42910.68</v>
      </c>
    </row>
    <row r="899" spans="1:4" x14ac:dyDescent="0.25">
      <c r="A899" t="str">
        <f>T("   391910")</f>
        <v xml:space="preserve">   391910</v>
      </c>
      <c r="B899"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899">
        <v>1971284</v>
      </c>
      <c r="D899">
        <v>1665</v>
      </c>
    </row>
    <row r="900" spans="1:4" x14ac:dyDescent="0.25">
      <c r="A900" t="str">
        <f>T("   392310")</f>
        <v xml:space="preserve">   392310</v>
      </c>
      <c r="B900" t="str">
        <f>T("   Boîtes, caisses, casiers et articles simil. pour le transport ou l'emballage, en matières plastiques")</f>
        <v xml:space="preserve">   Boîtes, caisses, casiers et articles simil. pour le transport ou l'emballage, en matières plastiques</v>
      </c>
      <c r="C900">
        <v>2780000</v>
      </c>
      <c r="D900">
        <v>9900</v>
      </c>
    </row>
    <row r="901" spans="1:4" x14ac:dyDescent="0.25">
      <c r="A901" t="str">
        <f>T("   401410")</f>
        <v xml:space="preserve">   401410</v>
      </c>
      <c r="B901" t="str">
        <f>T("   Préservatifs en caoutchouc vulcanisé non durci")</f>
        <v xml:space="preserve">   Préservatifs en caoutchouc vulcanisé non durci</v>
      </c>
      <c r="C901">
        <v>1000000</v>
      </c>
      <c r="D901">
        <v>8000</v>
      </c>
    </row>
    <row r="902" spans="1:4" x14ac:dyDescent="0.25">
      <c r="A902" t="str">
        <f>T("   420292")</f>
        <v xml:space="preserve">   420292</v>
      </c>
      <c r="B902" t="s">
        <v>39</v>
      </c>
      <c r="C902">
        <v>700000</v>
      </c>
      <c r="D902">
        <v>585</v>
      </c>
    </row>
    <row r="903" spans="1:4" x14ac:dyDescent="0.25">
      <c r="A903" t="str">
        <f>T("   440729")</f>
        <v xml:space="preserve">   440729</v>
      </c>
      <c r="B903" t="s">
        <v>47</v>
      </c>
      <c r="C903">
        <v>5000000</v>
      </c>
      <c r="D903">
        <v>250000</v>
      </c>
    </row>
    <row r="904" spans="1:4" x14ac:dyDescent="0.25">
      <c r="A904" t="str">
        <f>T("   440799")</f>
        <v xml:space="preserve">   440799</v>
      </c>
      <c r="B904" t="s">
        <v>48</v>
      </c>
      <c r="C904">
        <v>7500000</v>
      </c>
      <c r="D904">
        <v>300000</v>
      </c>
    </row>
    <row r="905" spans="1:4" x14ac:dyDescent="0.25">
      <c r="A905" t="str">
        <f>T("   481910")</f>
        <v xml:space="preserve">   481910</v>
      </c>
      <c r="B905" t="str">
        <f>T("   Boîtes et caisses en papier ou en carton ondulé")</f>
        <v xml:space="preserve">   Boîtes et caisses en papier ou en carton ondulé</v>
      </c>
      <c r="C905">
        <v>1028315</v>
      </c>
      <c r="D905">
        <v>863</v>
      </c>
    </row>
    <row r="906" spans="1:4" x14ac:dyDescent="0.25">
      <c r="A906" t="str">
        <f>T("   482020")</f>
        <v xml:space="preserve">   482020</v>
      </c>
      <c r="B906" t="str">
        <f>T("   Cahiers pour l'écriture, en papier ou carton")</f>
        <v xml:space="preserve">   Cahiers pour l'écriture, en papier ou carton</v>
      </c>
      <c r="C906">
        <v>8925000</v>
      </c>
      <c r="D906">
        <v>28413</v>
      </c>
    </row>
    <row r="907" spans="1:4" x14ac:dyDescent="0.25">
      <c r="A907" t="str">
        <f>T("   490700")</f>
        <v xml:space="preserve">   490700</v>
      </c>
      <c r="B907" t="s">
        <v>52</v>
      </c>
      <c r="C907">
        <v>13900000</v>
      </c>
      <c r="D907">
        <v>7056</v>
      </c>
    </row>
    <row r="908" spans="1:4" x14ac:dyDescent="0.25">
      <c r="A908" t="str">
        <f>T("   520299")</f>
        <v xml:space="preserve">   520299</v>
      </c>
      <c r="B908" t="str">
        <f>T("   Déchets de coton (à l'excl. des déchets de fils et des effilochés)")</f>
        <v xml:space="preserve">   Déchets de coton (à l'excl. des déchets de fils et des effilochés)</v>
      </c>
      <c r="C908">
        <v>17072595</v>
      </c>
      <c r="D908">
        <v>128419</v>
      </c>
    </row>
    <row r="909" spans="1:4" x14ac:dyDescent="0.25">
      <c r="A909" t="str">
        <f>T("   630510")</f>
        <v xml:space="preserve">   630510</v>
      </c>
      <c r="B909" t="str">
        <f>T("   Sacs et sachets d'emballage de jute ou d'autres fibres textiles libériennes du n° 5303")</f>
        <v xml:space="preserve">   Sacs et sachets d'emballage de jute ou d'autres fibres textiles libériennes du n° 5303</v>
      </c>
      <c r="C909">
        <v>2700000</v>
      </c>
      <c r="D909">
        <v>3700</v>
      </c>
    </row>
    <row r="910" spans="1:4" x14ac:dyDescent="0.25">
      <c r="A910" t="str">
        <f>T("   720839")</f>
        <v xml:space="preserve">   720839</v>
      </c>
      <c r="B910"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910">
        <v>192141400</v>
      </c>
      <c r="D910">
        <v>550000</v>
      </c>
    </row>
    <row r="911" spans="1:4" x14ac:dyDescent="0.25">
      <c r="A911" t="str">
        <f>T("   720890")</f>
        <v xml:space="preserve">   720890</v>
      </c>
      <c r="B911"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911">
        <v>2773813</v>
      </c>
      <c r="D911">
        <v>875</v>
      </c>
    </row>
    <row r="912" spans="1:4" x14ac:dyDescent="0.25">
      <c r="A912" t="str">
        <f>T("   721391")</f>
        <v xml:space="preserve">   721391</v>
      </c>
      <c r="B91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912">
        <v>135417212</v>
      </c>
      <c r="D912">
        <v>400660</v>
      </c>
    </row>
    <row r="913" spans="1:4" x14ac:dyDescent="0.25">
      <c r="A913" t="str">
        <f>T("   730820")</f>
        <v xml:space="preserve">   730820</v>
      </c>
      <c r="B913" t="str">
        <f>T("   Tours et pylônes, en fer ou en acier")</f>
        <v xml:space="preserve">   Tours et pylônes, en fer ou en acier</v>
      </c>
      <c r="C913">
        <v>4591699</v>
      </c>
      <c r="D913">
        <v>500</v>
      </c>
    </row>
    <row r="914" spans="1:4" x14ac:dyDescent="0.25">
      <c r="A914" t="str">
        <f>T("   730830")</f>
        <v xml:space="preserve">   730830</v>
      </c>
      <c r="B914" t="str">
        <f>T("   Portes, fenêtres et leurs cadres et chambranles ainsi que leurs seuils, en fer ou en acier")</f>
        <v xml:space="preserve">   Portes, fenêtres et leurs cadres et chambranles ainsi que leurs seuils, en fer ou en acier</v>
      </c>
      <c r="C914">
        <v>240000</v>
      </c>
      <c r="D914">
        <v>500</v>
      </c>
    </row>
    <row r="915" spans="1:4" x14ac:dyDescent="0.25">
      <c r="A915" t="str">
        <f>T("   732111")</f>
        <v xml:space="preserve">   732111</v>
      </c>
      <c r="B915" t="s">
        <v>69</v>
      </c>
      <c r="C915">
        <v>24718678</v>
      </c>
      <c r="D915">
        <v>13200</v>
      </c>
    </row>
    <row r="916" spans="1:4" x14ac:dyDescent="0.25">
      <c r="A916" t="str">
        <f>T("   732591")</f>
        <v xml:space="preserve">   732591</v>
      </c>
      <c r="B916" t="str">
        <f>T("   Boulets et simil., pour broyeurs, moulés (sauf en fonte non malléable)")</f>
        <v xml:space="preserve">   Boulets et simil., pour broyeurs, moulés (sauf en fonte non malléable)</v>
      </c>
      <c r="C916">
        <v>6493974</v>
      </c>
      <c r="D916">
        <v>18000</v>
      </c>
    </row>
    <row r="917" spans="1:4" x14ac:dyDescent="0.25">
      <c r="A917" t="str">
        <f>T("   732690")</f>
        <v xml:space="preserve">   732690</v>
      </c>
      <c r="B91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17">
        <v>2520000</v>
      </c>
      <c r="D917">
        <v>4425</v>
      </c>
    </row>
    <row r="918" spans="1:4" x14ac:dyDescent="0.25">
      <c r="A918" t="str">
        <f>T("   830910")</f>
        <v xml:space="preserve">   830910</v>
      </c>
      <c r="B918" t="str">
        <f>T("   Bouchons-couronnes en métaux communs")</f>
        <v xml:space="preserve">   Bouchons-couronnes en métaux communs</v>
      </c>
      <c r="C918">
        <v>1056000</v>
      </c>
      <c r="D918">
        <v>1583</v>
      </c>
    </row>
    <row r="919" spans="1:4" x14ac:dyDescent="0.25">
      <c r="A919" t="str">
        <f>T("   841319")</f>
        <v xml:space="preserve">   841319</v>
      </c>
      <c r="B919"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919">
        <v>8480648</v>
      </c>
      <c r="D919">
        <v>6080</v>
      </c>
    </row>
    <row r="920" spans="1:4" x14ac:dyDescent="0.25">
      <c r="A920" t="str">
        <f>T("   841381")</f>
        <v xml:space="preserve">   841381</v>
      </c>
      <c r="B920" t="s">
        <v>81</v>
      </c>
      <c r="C920">
        <v>480006</v>
      </c>
      <c r="D920">
        <v>5000</v>
      </c>
    </row>
    <row r="921" spans="1:4" x14ac:dyDescent="0.25">
      <c r="A921" t="str">
        <f>T("   841382")</f>
        <v xml:space="preserve">   841382</v>
      </c>
      <c r="B921" t="str">
        <f>T("   Elévateurs à liquides (à l'excl. des pompes)")</f>
        <v xml:space="preserve">   Elévateurs à liquides (à l'excl. des pompes)</v>
      </c>
      <c r="C921">
        <v>4000000</v>
      </c>
      <c r="D921">
        <v>10470</v>
      </c>
    </row>
    <row r="922" spans="1:4" x14ac:dyDescent="0.25">
      <c r="A922" t="str">
        <f>T("   841459")</f>
        <v xml:space="preserve">   841459</v>
      </c>
      <c r="B922"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22">
        <v>1500000</v>
      </c>
      <c r="D922">
        <v>1375</v>
      </c>
    </row>
    <row r="923" spans="1:4" x14ac:dyDescent="0.25">
      <c r="A923" t="str">
        <f>T("   841510")</f>
        <v xml:space="preserve">   841510</v>
      </c>
      <c r="B923" t="s">
        <v>82</v>
      </c>
      <c r="C923">
        <v>111946110</v>
      </c>
      <c r="D923">
        <v>30950</v>
      </c>
    </row>
    <row r="924" spans="1:4" x14ac:dyDescent="0.25">
      <c r="A924" t="str">
        <f>T("   841810")</f>
        <v xml:space="preserve">   841810</v>
      </c>
      <c r="B924" t="str">
        <f>T("   Réfrigérateurs et congélateurs-conservateurs combinés, avec portes extérieures séparées")</f>
        <v xml:space="preserve">   Réfrigérateurs et congélateurs-conservateurs combinés, avec portes extérieures séparées</v>
      </c>
      <c r="C924">
        <v>20264779</v>
      </c>
      <c r="D924">
        <v>4690</v>
      </c>
    </row>
    <row r="925" spans="1:4" x14ac:dyDescent="0.25">
      <c r="A925" t="str">
        <f>T("   841829")</f>
        <v xml:space="preserve">   841829</v>
      </c>
      <c r="B925" t="str">
        <f>T("   Réfrigérateurs ménagers à absorption, non-électriques")</f>
        <v xml:space="preserve">   Réfrigérateurs ménagers à absorption, non-électriques</v>
      </c>
      <c r="C925">
        <v>12345545</v>
      </c>
      <c r="D925">
        <v>4800</v>
      </c>
    </row>
    <row r="926" spans="1:4" x14ac:dyDescent="0.25">
      <c r="A926" t="str">
        <f>T("   842790")</f>
        <v xml:space="preserve">   842790</v>
      </c>
      <c r="B926" t="str">
        <f>T("   Chariots de manutention munis d'un dispositif de levage mais non autopropulsés")</f>
        <v xml:space="preserve">   Chariots de manutention munis d'un dispositif de levage mais non autopropulsés</v>
      </c>
      <c r="C926">
        <v>20000000</v>
      </c>
      <c r="D926">
        <v>18000</v>
      </c>
    </row>
    <row r="927" spans="1:4" x14ac:dyDescent="0.25">
      <c r="A927" t="str">
        <f>T("   842820")</f>
        <v xml:space="preserve">   842820</v>
      </c>
      <c r="B927" t="str">
        <f>T("   Appareils élévateurs ou transporteurs, pneumatiques")</f>
        <v xml:space="preserve">   Appareils élévateurs ou transporteurs, pneumatiques</v>
      </c>
      <c r="C927">
        <v>450000</v>
      </c>
      <c r="D927">
        <v>3700</v>
      </c>
    </row>
    <row r="928" spans="1:4" x14ac:dyDescent="0.25">
      <c r="A928" t="str">
        <f>T("   842831")</f>
        <v xml:space="preserve">   842831</v>
      </c>
      <c r="B928" t="str">
        <f>T("   Appareils élévateurs, transporteurs ou convoyeurs pour marchandises, à action continue, spécialement conçus pour mines au fond ou autres travaux souterrains (à l'excl. des appareils élévateurs ou transporteurs pneumatiques)")</f>
        <v xml:space="preserve">   Appareils élévateurs, transporteurs ou convoyeurs pour marchandises, à action continue, spécialement conçus pour mines au fond ou autres travaux souterrains (à l'excl. des appareils élévateurs ou transporteurs pneumatiques)</v>
      </c>
      <c r="C928">
        <v>4000000</v>
      </c>
      <c r="D928">
        <v>8480</v>
      </c>
    </row>
    <row r="929" spans="1:4" x14ac:dyDescent="0.25">
      <c r="A929" t="str">
        <f>T("   842839")</f>
        <v xml:space="preserve">   842839</v>
      </c>
      <c r="B929"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929">
        <v>6900000</v>
      </c>
      <c r="D929">
        <v>23910</v>
      </c>
    </row>
    <row r="930" spans="1:4" x14ac:dyDescent="0.25">
      <c r="A930" t="str">
        <f>T("   842940")</f>
        <v xml:space="preserve">   842940</v>
      </c>
      <c r="B930" t="str">
        <f>T("   Rouleaux compresseurs et autres compacteuses, autopropulsés")</f>
        <v xml:space="preserve">   Rouleaux compresseurs et autres compacteuses, autopropulsés</v>
      </c>
      <c r="C930">
        <v>29100000</v>
      </c>
      <c r="D930">
        <v>46950</v>
      </c>
    </row>
    <row r="931" spans="1:4" x14ac:dyDescent="0.25">
      <c r="A931" t="str">
        <f>T("   842951")</f>
        <v xml:space="preserve">   842951</v>
      </c>
      <c r="B931" t="str">
        <f>T("   Chargeuses et chargeuses-pelleteuses, à chargement frontal, autopropulsées")</f>
        <v xml:space="preserve">   Chargeuses et chargeuses-pelleteuses, à chargement frontal, autopropulsées</v>
      </c>
      <c r="C931">
        <v>25000000</v>
      </c>
      <c r="D931">
        <v>18000</v>
      </c>
    </row>
    <row r="932" spans="1:4" x14ac:dyDescent="0.25">
      <c r="A932" t="str">
        <f>T("   842959")</f>
        <v xml:space="preserve">   842959</v>
      </c>
      <c r="B932"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32">
        <v>130455700</v>
      </c>
      <c r="D932">
        <v>76000</v>
      </c>
    </row>
    <row r="933" spans="1:4" x14ac:dyDescent="0.25">
      <c r="A933" t="str">
        <f>T("   843149")</f>
        <v xml:space="preserve">   843149</v>
      </c>
      <c r="B933" t="str">
        <f>T("   Parties de machines et appareils du n° 8426, 8429 ou 8430, n.d.a.")</f>
        <v xml:space="preserve">   Parties de machines et appareils du n° 8426, 8429 ou 8430, n.d.a.</v>
      </c>
      <c r="C933">
        <v>365000</v>
      </c>
      <c r="D933">
        <v>412</v>
      </c>
    </row>
    <row r="934" spans="1:4" x14ac:dyDescent="0.25">
      <c r="A934" t="str">
        <f>T("   846390")</f>
        <v xml:space="preserve">   846390</v>
      </c>
      <c r="B934" t="s">
        <v>87</v>
      </c>
      <c r="C934">
        <v>16969977</v>
      </c>
      <c r="D934">
        <v>560</v>
      </c>
    </row>
    <row r="935" spans="1:4" x14ac:dyDescent="0.25">
      <c r="A935" t="str">
        <f>T("   846599")</f>
        <v xml:space="preserve">   846599</v>
      </c>
      <c r="B935" t="s">
        <v>88</v>
      </c>
      <c r="C935">
        <v>2296000</v>
      </c>
      <c r="D935">
        <v>200</v>
      </c>
    </row>
    <row r="936" spans="1:4" x14ac:dyDescent="0.25">
      <c r="A936" t="str">
        <f>T("   847431")</f>
        <v xml:space="preserve">   847431</v>
      </c>
      <c r="B936"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36">
        <v>16000000</v>
      </c>
      <c r="D936">
        <v>12445</v>
      </c>
    </row>
    <row r="937" spans="1:4" x14ac:dyDescent="0.25">
      <c r="A937" t="str">
        <f>T("   847910")</f>
        <v xml:space="preserve">   847910</v>
      </c>
      <c r="B937" t="str">
        <f>T("   Machines et appareils pour les travaux publics, le bâtiment ou les travaux analogues, n.d.a.")</f>
        <v xml:space="preserve">   Machines et appareils pour les travaux publics, le bâtiment ou les travaux analogues, n.d.a.</v>
      </c>
      <c r="C937">
        <v>31500000</v>
      </c>
      <c r="D937">
        <v>22280</v>
      </c>
    </row>
    <row r="938" spans="1:4" x14ac:dyDescent="0.25">
      <c r="A938" t="str">
        <f>T("   848590")</f>
        <v xml:space="preserve">   848590</v>
      </c>
      <c r="B938" t="str">
        <f>T("   Parties de machines et appareils du chapitre 84, sans caractéristiques spéciales d'utilisation, n.d.a.")</f>
        <v xml:space="preserve">   Parties de machines et appareils du chapitre 84, sans caractéristiques spéciales d'utilisation, n.d.a.</v>
      </c>
      <c r="C938">
        <v>1294245</v>
      </c>
      <c r="D938">
        <v>1811</v>
      </c>
    </row>
    <row r="939" spans="1:4" x14ac:dyDescent="0.25">
      <c r="A939" t="str">
        <f>T("   851790")</f>
        <v xml:space="preserve">   851790</v>
      </c>
      <c r="B939" t="s">
        <v>94</v>
      </c>
      <c r="C939">
        <v>9000000</v>
      </c>
      <c r="D939">
        <v>250</v>
      </c>
    </row>
    <row r="940" spans="1:4" x14ac:dyDescent="0.25">
      <c r="A940" t="str">
        <f>T("   853890")</f>
        <v xml:space="preserve">   853890</v>
      </c>
      <c r="B940" t="s">
        <v>95</v>
      </c>
      <c r="C940">
        <v>450000</v>
      </c>
      <c r="D940">
        <v>7360</v>
      </c>
    </row>
    <row r="941" spans="1:4" x14ac:dyDescent="0.25">
      <c r="A941" t="str">
        <f>T("   870322")</f>
        <v xml:space="preserve">   870322</v>
      </c>
      <c r="B941" t="s">
        <v>97</v>
      </c>
      <c r="C941">
        <v>1200000</v>
      </c>
      <c r="D941">
        <v>1890</v>
      </c>
    </row>
    <row r="942" spans="1:4" x14ac:dyDescent="0.25">
      <c r="A942" t="str">
        <f>T("   870324")</f>
        <v xml:space="preserve">   870324</v>
      </c>
      <c r="B942" t="s">
        <v>99</v>
      </c>
      <c r="C942">
        <v>2676426</v>
      </c>
      <c r="D942">
        <v>1300</v>
      </c>
    </row>
    <row r="943" spans="1:4" x14ac:dyDescent="0.25">
      <c r="A943" t="str">
        <f>T("   870422")</f>
        <v xml:space="preserve">   870422</v>
      </c>
      <c r="B943" t="s">
        <v>103</v>
      </c>
      <c r="C943">
        <v>10788415</v>
      </c>
      <c r="D943">
        <v>20660</v>
      </c>
    </row>
    <row r="944" spans="1:4" x14ac:dyDescent="0.25">
      <c r="A944" t="str">
        <f>T("   871640")</f>
        <v xml:space="preserve">   871640</v>
      </c>
      <c r="B94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44">
        <v>4500000</v>
      </c>
      <c r="D944">
        <v>7500</v>
      </c>
    </row>
    <row r="945" spans="1:4" x14ac:dyDescent="0.25">
      <c r="A945" t="str">
        <f>T("   871690")</f>
        <v xml:space="preserve">   871690</v>
      </c>
      <c r="B945" t="str">
        <f>T("   PARTIES DE REMORQUES, SEMI-REMORQUES ET AUTRES VÉHICULES NON-AUTOMOBILES, N.D.A.")</f>
        <v xml:space="preserve">   PARTIES DE REMORQUES, SEMI-REMORQUES ET AUTRES VÉHICULES NON-AUTOMOBILES, N.D.A.</v>
      </c>
      <c r="C945">
        <v>150000</v>
      </c>
      <c r="D945">
        <v>50</v>
      </c>
    </row>
    <row r="946" spans="1:4" x14ac:dyDescent="0.25">
      <c r="A946" t="str">
        <f>T("   890190")</f>
        <v xml:space="preserve">   890190</v>
      </c>
      <c r="B946" t="str">
        <f>T("   Cargos et bateaux pour le transport de personnes et de marchandises (autres que bateaux frigorifiques, bateaux-citernes, cargos et bateaux destinés essentiellement au transport des personnes)")</f>
        <v xml:space="preserve">   Cargos et bateaux pour le transport de personnes et de marchandises (autres que bateaux frigorifiques, bateaux-citernes, cargos et bateaux destinés essentiellement au transport des personnes)</v>
      </c>
      <c r="C946">
        <v>73795500</v>
      </c>
      <c r="D946">
        <v>12000</v>
      </c>
    </row>
    <row r="947" spans="1:4" x14ac:dyDescent="0.25">
      <c r="A947" t="str">
        <f>T("   940320")</f>
        <v xml:space="preserve">   940320</v>
      </c>
      <c r="B94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947">
        <v>1054570</v>
      </c>
      <c r="D947">
        <v>2314</v>
      </c>
    </row>
    <row r="948" spans="1:4" x14ac:dyDescent="0.25">
      <c r="A948" t="str">
        <f>T("TH")</f>
        <v>TH</v>
      </c>
      <c r="B948" t="str">
        <f>T("Thaïlande")</f>
        <v>Thaïlande</v>
      </c>
    </row>
    <row r="949" spans="1:4" x14ac:dyDescent="0.25">
      <c r="A949" t="str">
        <f>T("   ZZ_Total_Produit_SH6")</f>
        <v xml:space="preserve">   ZZ_Total_Produit_SH6</v>
      </c>
      <c r="B949" t="str">
        <f>T("   ZZ_Total_Produit_SH6")</f>
        <v xml:space="preserve">   ZZ_Total_Produit_SH6</v>
      </c>
      <c r="C949">
        <v>2844030997</v>
      </c>
      <c r="D949">
        <v>3993243</v>
      </c>
    </row>
    <row r="950" spans="1:4" x14ac:dyDescent="0.25">
      <c r="A950" t="str">
        <f>T("   080290")</f>
        <v xml:space="preserve">   080290</v>
      </c>
      <c r="B950"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950">
        <v>1000000</v>
      </c>
      <c r="D950">
        <v>20000</v>
      </c>
    </row>
    <row r="951" spans="1:4" x14ac:dyDescent="0.25">
      <c r="A951" t="str">
        <f>T("   120710")</f>
        <v xml:space="preserve">   120710</v>
      </c>
      <c r="B951" t="str">
        <f>T("   NOIX ET AMANDES DE PALMISTES")</f>
        <v xml:space="preserve">   NOIX ET AMANDES DE PALMISTES</v>
      </c>
      <c r="C951">
        <v>102497273</v>
      </c>
      <c r="D951">
        <v>63742</v>
      </c>
    </row>
    <row r="952" spans="1:4" x14ac:dyDescent="0.25">
      <c r="A952" t="str">
        <f>T("   520100")</f>
        <v xml:space="preserve">   520100</v>
      </c>
      <c r="B952" t="str">
        <f>T("   COTON, NON-CARDÉ NI PEIGNÉ")</f>
        <v xml:space="preserve">   COTON, NON-CARDÉ NI PEIGNÉ</v>
      </c>
      <c r="C952">
        <v>2718033824</v>
      </c>
      <c r="D952">
        <v>3457801</v>
      </c>
    </row>
    <row r="953" spans="1:4" x14ac:dyDescent="0.25">
      <c r="A953" t="str">
        <f>T("   710490")</f>
        <v xml:space="preserve">   710490</v>
      </c>
      <c r="B953" t="s">
        <v>63</v>
      </c>
      <c r="C953">
        <v>999900</v>
      </c>
      <c r="D953">
        <v>21700</v>
      </c>
    </row>
    <row r="954" spans="1:4" x14ac:dyDescent="0.25">
      <c r="A954" t="str">
        <f>T("   720449")</f>
        <v xml:space="preserve">   720449</v>
      </c>
      <c r="B954" t="s">
        <v>64</v>
      </c>
      <c r="C954">
        <v>21500000</v>
      </c>
      <c r="D954">
        <v>430000</v>
      </c>
    </row>
    <row r="955" spans="1:4" x14ac:dyDescent="0.25">
      <c r="A955" t="str">
        <f>T("TK")</f>
        <v>TK</v>
      </c>
      <c r="B955" t="str">
        <f>T("Tokelau")</f>
        <v>Tokelau</v>
      </c>
    </row>
    <row r="956" spans="1:4" x14ac:dyDescent="0.25">
      <c r="A956" t="str">
        <f>T("   ZZ_Total_Produit_SH6")</f>
        <v xml:space="preserve">   ZZ_Total_Produit_SH6</v>
      </c>
      <c r="B956" t="str">
        <f>T("   ZZ_Total_Produit_SH6")</f>
        <v xml:space="preserve">   ZZ_Total_Produit_SH6</v>
      </c>
      <c r="C956">
        <v>20000</v>
      </c>
      <c r="D956">
        <v>1</v>
      </c>
    </row>
    <row r="957" spans="1:4" x14ac:dyDescent="0.25">
      <c r="A957" t="str">
        <f>T("   120710")</f>
        <v xml:space="preserve">   120710</v>
      </c>
      <c r="B957" t="str">
        <f>T("   NOIX ET AMANDES DE PALMISTES")</f>
        <v xml:space="preserve">   NOIX ET AMANDES DE PALMISTES</v>
      </c>
      <c r="C957">
        <v>20000</v>
      </c>
      <c r="D957">
        <v>1</v>
      </c>
    </row>
    <row r="958" spans="1:4" x14ac:dyDescent="0.25">
      <c r="A958" t="str">
        <f>T("TN")</f>
        <v>TN</v>
      </c>
      <c r="B958" t="str">
        <f>T("Tunisie")</f>
        <v>Tunisie</v>
      </c>
    </row>
    <row r="959" spans="1:4" x14ac:dyDescent="0.25">
      <c r="A959" t="str">
        <f>T("   ZZ_Total_Produit_SH6")</f>
        <v xml:space="preserve">   ZZ_Total_Produit_SH6</v>
      </c>
      <c r="B959" t="str">
        <f>T("   ZZ_Total_Produit_SH6")</f>
        <v xml:space="preserve">   ZZ_Total_Produit_SH6</v>
      </c>
      <c r="C959">
        <v>25043468</v>
      </c>
      <c r="D959">
        <v>34725</v>
      </c>
    </row>
    <row r="960" spans="1:4" x14ac:dyDescent="0.25">
      <c r="A960" t="str">
        <f>T("   732399")</f>
        <v xml:space="preserve">   732399</v>
      </c>
      <c r="B960" t="s">
        <v>73</v>
      </c>
      <c r="C960">
        <v>200000</v>
      </c>
      <c r="D960">
        <v>10000</v>
      </c>
    </row>
    <row r="961" spans="1:4" x14ac:dyDescent="0.25">
      <c r="A961" t="str">
        <f>T("   760200")</f>
        <v xml:space="preserve">   760200</v>
      </c>
      <c r="B961" t="s">
        <v>74</v>
      </c>
      <c r="C961">
        <v>1000000</v>
      </c>
      <c r="D961">
        <v>20000</v>
      </c>
    </row>
    <row r="962" spans="1:4" x14ac:dyDescent="0.25">
      <c r="A962" t="str">
        <f>T("   870322")</f>
        <v xml:space="preserve">   870322</v>
      </c>
      <c r="B962" t="s">
        <v>97</v>
      </c>
      <c r="C962">
        <v>2000000</v>
      </c>
      <c r="D962">
        <v>3090</v>
      </c>
    </row>
    <row r="963" spans="1:4" x14ac:dyDescent="0.25">
      <c r="A963" t="str">
        <f>T("   870323")</f>
        <v xml:space="preserve">   870323</v>
      </c>
      <c r="B963" t="s">
        <v>98</v>
      </c>
      <c r="C963">
        <v>21843468</v>
      </c>
      <c r="D963">
        <v>1635</v>
      </c>
    </row>
    <row r="964" spans="1:4" x14ac:dyDescent="0.25">
      <c r="A964" t="str">
        <f>T("TR")</f>
        <v>TR</v>
      </c>
      <c r="B964" t="str">
        <f>T("Turquie")</f>
        <v>Turquie</v>
      </c>
    </row>
    <row r="965" spans="1:4" x14ac:dyDescent="0.25">
      <c r="A965" t="str">
        <f>T("   ZZ_Total_Produit_SH6")</f>
        <v xml:space="preserve">   ZZ_Total_Produit_SH6</v>
      </c>
      <c r="B965" t="str">
        <f>T("   ZZ_Total_Produit_SH6")</f>
        <v xml:space="preserve">   ZZ_Total_Produit_SH6</v>
      </c>
      <c r="C965">
        <v>234811397</v>
      </c>
      <c r="D965">
        <v>1087689</v>
      </c>
    </row>
    <row r="966" spans="1:4" x14ac:dyDescent="0.25">
      <c r="A966" t="str">
        <f>T("   230690")</f>
        <v xml:space="preserve">   230690</v>
      </c>
      <c r="B966" t="s">
        <v>24</v>
      </c>
      <c r="C966">
        <v>42699419</v>
      </c>
      <c r="D966">
        <v>804965</v>
      </c>
    </row>
    <row r="967" spans="1:4" x14ac:dyDescent="0.25">
      <c r="A967" t="str">
        <f>T("   440799")</f>
        <v xml:space="preserve">   440799</v>
      </c>
      <c r="B967" t="s">
        <v>48</v>
      </c>
      <c r="C967">
        <v>4000000</v>
      </c>
      <c r="D967">
        <v>40000</v>
      </c>
    </row>
    <row r="968" spans="1:4" x14ac:dyDescent="0.25">
      <c r="A968" t="str">
        <f>T("   520100")</f>
        <v xml:space="preserve">   520100</v>
      </c>
      <c r="B968" t="str">
        <f>T("   COTON, NON-CARDÉ NI PEIGNÉ")</f>
        <v xml:space="preserve">   COTON, NON-CARDÉ NI PEIGNÉ</v>
      </c>
      <c r="C968">
        <v>188111978</v>
      </c>
      <c r="D968">
        <v>242724</v>
      </c>
    </row>
    <row r="969" spans="1:4" x14ac:dyDescent="0.25">
      <c r="A969" t="str">
        <f>T("TZ")</f>
        <v>TZ</v>
      </c>
      <c r="B969" t="str">
        <f>T("Tanzanie")</f>
        <v>Tanzanie</v>
      </c>
    </row>
    <row r="970" spans="1:4" x14ac:dyDescent="0.25">
      <c r="A970" t="str">
        <f>T("   ZZ_Total_Produit_SH6")</f>
        <v xml:space="preserve">   ZZ_Total_Produit_SH6</v>
      </c>
      <c r="B970" t="str">
        <f>T("   ZZ_Total_Produit_SH6")</f>
        <v xml:space="preserve">   ZZ_Total_Produit_SH6</v>
      </c>
      <c r="C970">
        <v>17277210</v>
      </c>
      <c r="D970">
        <v>8000</v>
      </c>
    </row>
    <row r="971" spans="1:4" x14ac:dyDescent="0.25">
      <c r="A971" t="str">
        <f>T("   620590")</f>
        <v xml:space="preserve">   620590</v>
      </c>
      <c r="B97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71">
        <v>850000</v>
      </c>
      <c r="D971">
        <v>935</v>
      </c>
    </row>
    <row r="972" spans="1:4" x14ac:dyDescent="0.25">
      <c r="A972" t="str">
        <f>T("   732394")</f>
        <v xml:space="preserve">   732394</v>
      </c>
      <c r="B972" t="s">
        <v>72</v>
      </c>
      <c r="C972">
        <v>400000</v>
      </c>
      <c r="D972">
        <v>600</v>
      </c>
    </row>
    <row r="973" spans="1:4" x14ac:dyDescent="0.25">
      <c r="A973" t="str">
        <f>T("   843050")</f>
        <v xml:space="preserve">   843050</v>
      </c>
      <c r="B973"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973">
        <v>8893520</v>
      </c>
      <c r="D973">
        <v>3780</v>
      </c>
    </row>
    <row r="974" spans="1:4" x14ac:dyDescent="0.25">
      <c r="A974" t="str">
        <f>T("   850211")</f>
        <v xml:space="preserve">   850211</v>
      </c>
      <c r="B974" t="s">
        <v>91</v>
      </c>
      <c r="C974">
        <v>250000</v>
      </c>
      <c r="D974">
        <v>15</v>
      </c>
    </row>
    <row r="975" spans="1:4" x14ac:dyDescent="0.25">
      <c r="A975" t="str">
        <f>T("   870323")</f>
        <v xml:space="preserve">   870323</v>
      </c>
      <c r="B975" t="s">
        <v>98</v>
      </c>
      <c r="C975">
        <v>5383690</v>
      </c>
      <c r="D975">
        <v>1220</v>
      </c>
    </row>
    <row r="976" spans="1:4" x14ac:dyDescent="0.25">
      <c r="A976" t="str">
        <f>T("   940350")</f>
        <v xml:space="preserve">   940350</v>
      </c>
      <c r="B976" t="str">
        <f>T("   Meubles pour chambres à coucher, en bois (sauf sièges)")</f>
        <v xml:space="preserve">   Meubles pour chambres à coucher, en bois (sauf sièges)</v>
      </c>
      <c r="C976">
        <v>1400000</v>
      </c>
      <c r="D976">
        <v>1150</v>
      </c>
    </row>
    <row r="977" spans="1:4" x14ac:dyDescent="0.25">
      <c r="A977" t="str">
        <f>T("   950299")</f>
        <v xml:space="preserve">   950299</v>
      </c>
      <c r="B977" t="str">
        <f>T("   Parties et accessoires pour poupées représentant uniquement l'être humain, n.d.a.")</f>
        <v xml:space="preserve">   Parties et accessoires pour poupées représentant uniquement l'être humain, n.d.a.</v>
      </c>
      <c r="C977">
        <v>100000</v>
      </c>
      <c r="D977">
        <v>300</v>
      </c>
    </row>
    <row r="978" spans="1:4" x14ac:dyDescent="0.25">
      <c r="A978" t="str">
        <f>T("UG")</f>
        <v>UG</v>
      </c>
      <c r="B978" t="str">
        <f>T("Ouganda")</f>
        <v>Ouganda</v>
      </c>
    </row>
    <row r="979" spans="1:4" x14ac:dyDescent="0.25">
      <c r="A979" t="str">
        <f>T("   ZZ_Total_Produit_SH6")</f>
        <v xml:space="preserve">   ZZ_Total_Produit_SH6</v>
      </c>
      <c r="B979" t="str">
        <f>T("   ZZ_Total_Produit_SH6")</f>
        <v xml:space="preserve">   ZZ_Total_Produit_SH6</v>
      </c>
      <c r="C979">
        <v>3975000</v>
      </c>
      <c r="D979">
        <v>14000</v>
      </c>
    </row>
    <row r="980" spans="1:4" x14ac:dyDescent="0.25">
      <c r="A980" t="str">
        <f>T("   490199")</f>
        <v xml:space="preserve">   490199</v>
      </c>
      <c r="B98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80">
        <v>500000</v>
      </c>
      <c r="D980">
        <v>500</v>
      </c>
    </row>
    <row r="981" spans="1:4" x14ac:dyDescent="0.25">
      <c r="A981" t="str">
        <f>T("   620590")</f>
        <v xml:space="preserve">   620590</v>
      </c>
      <c r="B9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81">
        <v>300000</v>
      </c>
      <c r="D981">
        <v>300</v>
      </c>
    </row>
    <row r="982" spans="1:4" x14ac:dyDescent="0.25">
      <c r="A982" t="str">
        <f>T("   621050")</f>
        <v xml:space="preserve">   621050</v>
      </c>
      <c r="B982" t="s">
        <v>56</v>
      </c>
      <c r="C982">
        <v>500000</v>
      </c>
      <c r="D982">
        <v>500</v>
      </c>
    </row>
    <row r="983" spans="1:4" x14ac:dyDescent="0.25">
      <c r="A983" t="str">
        <f>T("   732394")</f>
        <v xml:space="preserve">   732394</v>
      </c>
      <c r="B983" t="s">
        <v>72</v>
      </c>
      <c r="C983">
        <v>400000</v>
      </c>
      <c r="D983">
        <v>500</v>
      </c>
    </row>
    <row r="984" spans="1:4" x14ac:dyDescent="0.25">
      <c r="A984" t="str">
        <f>T("   732399")</f>
        <v xml:space="preserve">   732399</v>
      </c>
      <c r="B984" t="s">
        <v>73</v>
      </c>
      <c r="C984">
        <v>375000</v>
      </c>
      <c r="D984">
        <v>500</v>
      </c>
    </row>
    <row r="985" spans="1:4" x14ac:dyDescent="0.25">
      <c r="A985" t="str">
        <f>T("   940350")</f>
        <v xml:space="preserve">   940350</v>
      </c>
      <c r="B985" t="str">
        <f>T("   Meubles pour chambres à coucher, en bois (sauf sièges)")</f>
        <v xml:space="preserve">   Meubles pour chambres à coucher, en bois (sauf sièges)</v>
      </c>
      <c r="C985">
        <v>800000</v>
      </c>
      <c r="D985">
        <v>700</v>
      </c>
    </row>
    <row r="986" spans="1:4" x14ac:dyDescent="0.25">
      <c r="A986" t="str">
        <f>T("   940360")</f>
        <v xml:space="preserve">   940360</v>
      </c>
      <c r="B986" t="str">
        <f>T("   Meubles en bois (autres que pour bureaux, cuisines ou chambres à coucher et autres que sièges)")</f>
        <v xml:space="preserve">   Meubles en bois (autres que pour bureaux, cuisines ou chambres à coucher et autres que sièges)</v>
      </c>
      <c r="C986">
        <v>500000</v>
      </c>
      <c r="D986">
        <v>1000</v>
      </c>
    </row>
    <row r="987" spans="1:4" x14ac:dyDescent="0.25">
      <c r="A987" t="str">
        <f>T("   940380")</f>
        <v xml:space="preserve">   940380</v>
      </c>
      <c r="B987" t="str">
        <f>T("   Meubles en rotin, osier, bambou ou autres matières (sauf métal, bois et matières plastiques)")</f>
        <v xml:space="preserve">   Meubles en rotin, osier, bambou ou autres matières (sauf métal, bois et matières plastiques)</v>
      </c>
      <c r="C987">
        <v>600000</v>
      </c>
      <c r="D987">
        <v>10000</v>
      </c>
    </row>
    <row r="988" spans="1:4" x14ac:dyDescent="0.25">
      <c r="A988" t="str">
        <f>T("US")</f>
        <v>US</v>
      </c>
      <c r="B988" t="str">
        <f>T("Etats-Unis")</f>
        <v>Etats-Unis</v>
      </c>
    </row>
    <row r="989" spans="1:4" x14ac:dyDescent="0.25">
      <c r="A989" t="str">
        <f>T("   ZZ_Total_Produit_SH6")</f>
        <v xml:space="preserve">   ZZ_Total_Produit_SH6</v>
      </c>
      <c r="B989" t="str">
        <f>T("   ZZ_Total_Produit_SH6")</f>
        <v xml:space="preserve">   ZZ_Total_Produit_SH6</v>
      </c>
      <c r="C989">
        <v>113369712</v>
      </c>
      <c r="D989">
        <v>68614</v>
      </c>
    </row>
    <row r="990" spans="1:4" x14ac:dyDescent="0.25">
      <c r="A990" t="str">
        <f>T("   071490")</f>
        <v xml:space="preserve">   071490</v>
      </c>
      <c r="B990" t="s">
        <v>14</v>
      </c>
      <c r="C990">
        <v>1200000</v>
      </c>
      <c r="D990">
        <v>12000</v>
      </c>
    </row>
    <row r="991" spans="1:4" x14ac:dyDescent="0.25">
      <c r="A991" t="str">
        <f>T("   151590")</f>
        <v xml:space="preserve">   151590</v>
      </c>
      <c r="B991" t="s">
        <v>17</v>
      </c>
      <c r="C991">
        <v>11885963</v>
      </c>
      <c r="D991">
        <v>8652</v>
      </c>
    </row>
    <row r="992" spans="1:4" x14ac:dyDescent="0.25">
      <c r="A992" t="str">
        <f>T("   440799")</f>
        <v xml:space="preserve">   440799</v>
      </c>
      <c r="B992" t="s">
        <v>48</v>
      </c>
      <c r="C992">
        <v>12389772</v>
      </c>
      <c r="D992">
        <v>1432</v>
      </c>
    </row>
    <row r="993" spans="1:4" x14ac:dyDescent="0.25">
      <c r="A993" t="str">
        <f>T("   490199")</f>
        <v xml:space="preserve">   490199</v>
      </c>
      <c r="B99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93">
        <v>200000</v>
      </c>
      <c r="D993">
        <v>400</v>
      </c>
    </row>
    <row r="994" spans="1:4" x14ac:dyDescent="0.25">
      <c r="A994" t="str">
        <f>T("   620590")</f>
        <v xml:space="preserve">   620590</v>
      </c>
      <c r="B9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94">
        <v>1500000</v>
      </c>
      <c r="D994">
        <v>1800</v>
      </c>
    </row>
    <row r="995" spans="1:4" x14ac:dyDescent="0.25">
      <c r="A995" t="str">
        <f>T("   732394")</f>
        <v xml:space="preserve">   732394</v>
      </c>
      <c r="B995" t="s">
        <v>72</v>
      </c>
      <c r="C995">
        <v>2000000</v>
      </c>
      <c r="D995">
        <v>1800</v>
      </c>
    </row>
    <row r="996" spans="1:4" x14ac:dyDescent="0.25">
      <c r="A996" t="str">
        <f>T("   870322")</f>
        <v xml:space="preserve">   870322</v>
      </c>
      <c r="B996" t="s">
        <v>97</v>
      </c>
      <c r="C996">
        <v>6185194</v>
      </c>
      <c r="D996">
        <v>1910</v>
      </c>
    </row>
    <row r="997" spans="1:4" x14ac:dyDescent="0.25">
      <c r="A997" t="str">
        <f>T("   870323")</f>
        <v xml:space="preserve">   870323</v>
      </c>
      <c r="B997" t="s">
        <v>98</v>
      </c>
      <c r="C997">
        <v>3706585</v>
      </c>
      <c r="D997">
        <v>1680</v>
      </c>
    </row>
    <row r="998" spans="1:4" x14ac:dyDescent="0.25">
      <c r="A998" t="str">
        <f>T("   870899")</f>
        <v xml:space="preserve">   870899</v>
      </c>
      <c r="B99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98">
        <v>1500000</v>
      </c>
      <c r="D998">
        <v>2000</v>
      </c>
    </row>
    <row r="999" spans="1:4" x14ac:dyDescent="0.25">
      <c r="A999" t="str">
        <f>T("   940350")</f>
        <v xml:space="preserve">   940350</v>
      </c>
      <c r="B999" t="str">
        <f>T("   Meubles pour chambres à coucher, en bois (sauf sièges)")</f>
        <v xml:space="preserve">   Meubles pour chambres à coucher, en bois (sauf sièges)</v>
      </c>
      <c r="C999">
        <v>2100000</v>
      </c>
      <c r="D999">
        <v>1500</v>
      </c>
    </row>
    <row r="1000" spans="1:4" x14ac:dyDescent="0.25">
      <c r="A1000" t="str">
        <f>T("   940360")</f>
        <v xml:space="preserve">   940360</v>
      </c>
      <c r="B1000" t="str">
        <f>T("   Meubles en bois (autres que pour bureaux, cuisines ou chambres à coucher et autres que sièges)")</f>
        <v xml:space="preserve">   Meubles en bois (autres que pour bureaux, cuisines ou chambres à coucher et autres que sièges)</v>
      </c>
      <c r="C1000">
        <v>65502198</v>
      </c>
      <c r="D1000">
        <v>7568</v>
      </c>
    </row>
    <row r="1001" spans="1:4" x14ac:dyDescent="0.25">
      <c r="A1001" t="str">
        <f>T("   940380")</f>
        <v xml:space="preserve">   940380</v>
      </c>
      <c r="B1001" t="str">
        <f>T("   Meubles en rotin, osier, bambou ou autres matières (sauf métal, bois et matières plastiques)")</f>
        <v xml:space="preserve">   Meubles en rotin, osier, bambou ou autres matières (sauf métal, bois et matières plastiques)</v>
      </c>
      <c r="C1001">
        <v>2700000</v>
      </c>
      <c r="D1001">
        <v>16500</v>
      </c>
    </row>
    <row r="1002" spans="1:4" x14ac:dyDescent="0.25">
      <c r="A1002" t="str">
        <f>T("   950299")</f>
        <v xml:space="preserve">   950299</v>
      </c>
      <c r="B1002" t="str">
        <f>T("   Parties et accessoires pour poupées représentant uniquement l'être humain, n.d.a.")</f>
        <v xml:space="preserve">   Parties et accessoires pour poupées représentant uniquement l'être humain, n.d.a.</v>
      </c>
      <c r="C1002">
        <v>200000</v>
      </c>
      <c r="D1002">
        <v>372</v>
      </c>
    </row>
    <row r="1003" spans="1:4" x14ac:dyDescent="0.25">
      <c r="A1003" t="str">
        <f>T("   950619")</f>
        <v xml:space="preserve">   950619</v>
      </c>
      <c r="B1003"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1003">
        <v>2300000</v>
      </c>
      <c r="D1003">
        <v>11000</v>
      </c>
    </row>
    <row r="1004" spans="1:4" x14ac:dyDescent="0.25">
      <c r="A1004" t="str">
        <f>T("VN")</f>
        <v>VN</v>
      </c>
      <c r="B1004" t="str">
        <f>T("Vietnam")</f>
        <v>Vietnam</v>
      </c>
    </row>
    <row r="1005" spans="1:4" x14ac:dyDescent="0.25">
      <c r="A1005" t="str">
        <f>T("   ZZ_Total_Produit_SH6")</f>
        <v xml:space="preserve">   ZZ_Total_Produit_SH6</v>
      </c>
      <c r="B1005" t="str">
        <f>T("   ZZ_Total_Produit_SH6")</f>
        <v xml:space="preserve">   ZZ_Total_Produit_SH6</v>
      </c>
      <c r="C1005">
        <v>2865008853</v>
      </c>
      <c r="D1005">
        <v>15258583</v>
      </c>
    </row>
    <row r="1006" spans="1:4" x14ac:dyDescent="0.25">
      <c r="A1006" t="str">
        <f>T("   080131")</f>
        <v xml:space="preserve">   080131</v>
      </c>
      <c r="B1006" t="str">
        <f>T("   Noix de cajou, fraîches ou sèches, en coques")</f>
        <v xml:space="preserve">   Noix de cajou, fraîches ou sèches, en coques</v>
      </c>
      <c r="C1006">
        <v>1476401378</v>
      </c>
      <c r="D1006">
        <v>4185951</v>
      </c>
    </row>
    <row r="1007" spans="1:4" x14ac:dyDescent="0.25">
      <c r="A1007" t="str">
        <f>T("   080590")</f>
        <v xml:space="preserve">   080590</v>
      </c>
      <c r="B1007" t="s">
        <v>15</v>
      </c>
      <c r="C1007">
        <v>500000</v>
      </c>
      <c r="D1007">
        <v>10000</v>
      </c>
    </row>
    <row r="1008" spans="1:4" x14ac:dyDescent="0.25">
      <c r="A1008" t="str">
        <f>T("   120799")</f>
        <v xml:space="preserve">   120799</v>
      </c>
      <c r="B1008" t="s">
        <v>16</v>
      </c>
      <c r="C1008">
        <v>10000000</v>
      </c>
      <c r="D1008">
        <v>50000</v>
      </c>
    </row>
    <row r="1009" spans="1:4" x14ac:dyDescent="0.25">
      <c r="A1009" t="str">
        <f>T("   440799")</f>
        <v xml:space="preserve">   440799</v>
      </c>
      <c r="B1009" t="s">
        <v>48</v>
      </c>
      <c r="C1009">
        <v>1000000</v>
      </c>
      <c r="D1009">
        <v>50000</v>
      </c>
    </row>
    <row r="1010" spans="1:4" x14ac:dyDescent="0.25">
      <c r="A1010" t="str">
        <f>T("   520100")</f>
        <v xml:space="preserve">   520100</v>
      </c>
      <c r="B1010" t="str">
        <f>T("   COTON, NON-CARDÉ NI PEIGNÉ")</f>
        <v xml:space="preserve">   COTON, NON-CARDÉ NI PEIGNÉ</v>
      </c>
      <c r="C1010">
        <v>853497441</v>
      </c>
      <c r="D1010">
        <v>1119233</v>
      </c>
    </row>
    <row r="1011" spans="1:4" x14ac:dyDescent="0.25">
      <c r="A1011" t="str">
        <f>T("   520299")</f>
        <v xml:space="preserve">   520299</v>
      </c>
      <c r="B1011" t="str">
        <f>T("   Déchets de coton (à l'excl. des déchets de fils et des effilochés)")</f>
        <v xml:space="preserve">   Déchets de coton (à l'excl. des déchets de fils et des effilochés)</v>
      </c>
      <c r="C1011">
        <v>39360034</v>
      </c>
      <c r="D1011">
        <v>98399</v>
      </c>
    </row>
    <row r="1012" spans="1:4" x14ac:dyDescent="0.25">
      <c r="A1012" t="str">
        <f>T("   720429")</f>
        <v xml:space="preserve">   720429</v>
      </c>
      <c r="B1012"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12">
        <v>210500000</v>
      </c>
      <c r="D1012">
        <v>4210000</v>
      </c>
    </row>
    <row r="1013" spans="1:4" x14ac:dyDescent="0.25">
      <c r="A1013" t="str">
        <f>T("   720430")</f>
        <v xml:space="preserve">   720430</v>
      </c>
      <c r="B101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013">
        <v>211750000</v>
      </c>
      <c r="D1013">
        <v>4235000</v>
      </c>
    </row>
    <row r="1014" spans="1:4" x14ac:dyDescent="0.25">
      <c r="A1014" t="str">
        <f>T("   720449")</f>
        <v xml:space="preserve">   720449</v>
      </c>
      <c r="B1014" t="s">
        <v>64</v>
      </c>
      <c r="C1014">
        <v>56500000</v>
      </c>
      <c r="D1014">
        <v>1190000</v>
      </c>
    </row>
    <row r="1015" spans="1:4" x14ac:dyDescent="0.25">
      <c r="A1015" t="str">
        <f>T("   760200")</f>
        <v xml:space="preserve">   760200</v>
      </c>
      <c r="B1015" t="s">
        <v>74</v>
      </c>
      <c r="C1015">
        <v>5500000</v>
      </c>
      <c r="D1015">
        <v>110000</v>
      </c>
    </row>
    <row r="1016" spans="1:4" x14ac:dyDescent="0.25">
      <c r="A1016" t="str">
        <f>T("ZA")</f>
        <v>ZA</v>
      </c>
      <c r="B1016" t="str">
        <f>T("Afrique du Sud")</f>
        <v>Afrique du Sud</v>
      </c>
    </row>
    <row r="1017" spans="1:4" x14ac:dyDescent="0.25">
      <c r="A1017" t="str">
        <f>T("   ZZ_Total_Produit_SH6")</f>
        <v xml:space="preserve">   ZZ_Total_Produit_SH6</v>
      </c>
      <c r="B1017" t="str">
        <f>T("   ZZ_Total_Produit_SH6")</f>
        <v xml:space="preserve">   ZZ_Total_Produit_SH6</v>
      </c>
      <c r="C1017">
        <v>560684394</v>
      </c>
      <c r="D1017">
        <v>5848915</v>
      </c>
    </row>
    <row r="1018" spans="1:4" x14ac:dyDescent="0.25">
      <c r="A1018" t="str">
        <f>T("   080131")</f>
        <v xml:space="preserve">   080131</v>
      </c>
      <c r="B1018" t="str">
        <f>T("   Noix de cajou, fraîches ou sèches, en coques")</f>
        <v xml:space="preserve">   Noix de cajou, fraîches ou sèches, en coques</v>
      </c>
      <c r="C1018">
        <v>34727574</v>
      </c>
      <c r="D1018">
        <v>529416</v>
      </c>
    </row>
    <row r="1019" spans="1:4" x14ac:dyDescent="0.25">
      <c r="A1019" t="str">
        <f>T("   080132")</f>
        <v xml:space="preserve">   080132</v>
      </c>
      <c r="B1019" t="str">
        <f>T("   Noix de cajou, fraîches ou sèches, sans coques")</f>
        <v xml:space="preserve">   Noix de cajou, fraîches ou sèches, sans coques</v>
      </c>
      <c r="C1019">
        <v>29300592</v>
      </c>
      <c r="D1019">
        <v>13744</v>
      </c>
    </row>
    <row r="1020" spans="1:4" x14ac:dyDescent="0.25">
      <c r="A1020" t="str">
        <f>T("   230610")</f>
        <v xml:space="preserve">   230610</v>
      </c>
      <c r="B1020"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020">
        <v>363683009</v>
      </c>
      <c r="D1020">
        <v>4969338</v>
      </c>
    </row>
    <row r="1021" spans="1:4" x14ac:dyDescent="0.25">
      <c r="A1021" t="str">
        <f>T("   230690")</f>
        <v xml:space="preserve">   230690</v>
      </c>
      <c r="B1021" t="s">
        <v>24</v>
      </c>
      <c r="C1021">
        <v>415021</v>
      </c>
      <c r="D1021">
        <v>17316</v>
      </c>
    </row>
    <row r="1022" spans="1:4" x14ac:dyDescent="0.25">
      <c r="A1022" t="str">
        <f>T("   271019")</f>
        <v xml:space="preserve">   271019</v>
      </c>
      <c r="B1022" t="str">
        <f>T("   Huiles moyennes et préparations, de pétrole ou de minéraux bitumineux, n.d.a.")</f>
        <v xml:space="preserve">   Huiles moyennes et préparations, de pétrole ou de minéraux bitumineux, n.d.a.</v>
      </c>
      <c r="C1022">
        <v>120185673</v>
      </c>
      <c r="D1022">
        <v>245235</v>
      </c>
    </row>
    <row r="1023" spans="1:4" x14ac:dyDescent="0.25">
      <c r="A1023" t="str">
        <f>T("   620590")</f>
        <v xml:space="preserve">   620590</v>
      </c>
      <c r="B102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23">
        <v>500000</v>
      </c>
      <c r="D1023">
        <v>300</v>
      </c>
    </row>
    <row r="1024" spans="1:4" x14ac:dyDescent="0.25">
      <c r="A1024" t="str">
        <f>T("   630900")</f>
        <v xml:space="preserve">   630900</v>
      </c>
      <c r="B1024" t="s">
        <v>57</v>
      </c>
      <c r="C1024">
        <v>1500000</v>
      </c>
      <c r="D1024">
        <v>900</v>
      </c>
    </row>
    <row r="1025" spans="1:4" x14ac:dyDescent="0.25">
      <c r="A1025" t="str">
        <f>T("   870423")</f>
        <v xml:space="preserve">   870423</v>
      </c>
      <c r="B1025" t="s">
        <v>104</v>
      </c>
      <c r="C1025">
        <v>9672525</v>
      </c>
      <c r="D1025">
        <v>72166</v>
      </c>
    </row>
    <row r="1026" spans="1:4" x14ac:dyDescent="0.25">
      <c r="A1026" t="str">
        <f>T("   940350")</f>
        <v xml:space="preserve">   940350</v>
      </c>
      <c r="B1026" t="str">
        <f>T("   Meubles pour chambres à coucher, en bois (sauf sièges)")</f>
        <v xml:space="preserve">   Meubles pour chambres à coucher, en bois (sauf sièges)</v>
      </c>
      <c r="C1026">
        <v>700000</v>
      </c>
      <c r="D1026">
        <v>500</v>
      </c>
    </row>
    <row r="1027" spans="1:4" x14ac:dyDescent="0.25">
      <c r="A1027" t="str">
        <f>T("ZM")</f>
        <v>ZM</v>
      </c>
      <c r="B1027" t="str">
        <f>T("Zambie")</f>
        <v>Zambie</v>
      </c>
    </row>
    <row r="1028" spans="1:4" x14ac:dyDescent="0.25">
      <c r="A1028" t="str">
        <f>T("   ZZ_Total_Produit_SH6")</f>
        <v xml:space="preserve">   ZZ_Total_Produit_SH6</v>
      </c>
      <c r="B1028" t="str">
        <f>T("   ZZ_Total_Produit_SH6")</f>
        <v xml:space="preserve">   ZZ_Total_Produit_SH6</v>
      </c>
      <c r="C1028">
        <v>2000000</v>
      </c>
      <c r="D1028">
        <v>2000</v>
      </c>
    </row>
    <row r="1029" spans="1:4" x14ac:dyDescent="0.25">
      <c r="A1029" t="str">
        <f>T("   621040")</f>
        <v xml:space="preserve">   621040</v>
      </c>
      <c r="B1029" t="s">
        <v>55</v>
      </c>
      <c r="C1029">
        <v>2000000</v>
      </c>
      <c r="D1029">
        <v>2000</v>
      </c>
    </row>
    <row r="1030" spans="1:4" s="1" customFormat="1" x14ac:dyDescent="0.25">
      <c r="A1030" s="1" t="str">
        <f>T("   ZZ_Total_Produit_SH6")</f>
        <v xml:space="preserve">   ZZ_Total_Produit_SH6</v>
      </c>
      <c r="B1030" s="1" t="str">
        <f>T("   ZZ_Total_Produit_SH6")</f>
        <v xml:space="preserve">   ZZ_Total_Produit_SH6</v>
      </c>
      <c r="C1030" s="1">
        <v>144980458312</v>
      </c>
      <c r="D1030" s="1">
        <v>534575113.94</v>
      </c>
    </row>
    <row r="1032" spans="1:4" x14ac:dyDescent="0.25">
      <c r="A1032" t="s">
        <v>109</v>
      </c>
    </row>
    <row r="1033" spans="1:4" x14ac:dyDescent="0.25">
      <c r="A1033" t="s">
        <v>110</v>
      </c>
    </row>
    <row r="1035" spans="1:4" x14ac:dyDescent="0.25">
      <c r="A1035" t="s">
        <v>111</v>
      </c>
    </row>
  </sheetData>
  <pageMargins left="0.7" right="0.7" top="0.75" bottom="0.75" header="0.3" footer="0.3"/>
</worksheet>
</file>