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ays prod 2011"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030" i="1"/>
  <c r="B1030" i="1"/>
  <c r="A16" i="1"/>
  <c r="B16" i="1"/>
  <c r="A17" i="1"/>
  <c r="B17" i="1"/>
  <c r="A18" i="1"/>
  <c r="B18" i="1"/>
  <c r="A19" i="1"/>
  <c r="B19" i="1"/>
  <c r="A20" i="1"/>
  <c r="A21" i="1"/>
  <c r="B21" i="1"/>
  <c r="A22" i="1"/>
  <c r="A23" i="1"/>
  <c r="B23" i="1"/>
  <c r="A24" i="1"/>
  <c r="B24" i="1"/>
  <c r="A25" i="1"/>
  <c r="B25" i="1"/>
  <c r="A26" i="1"/>
  <c r="B26" i="1"/>
  <c r="A27" i="1"/>
  <c r="A28" i="1"/>
  <c r="B28" i="1"/>
  <c r="A29" i="1"/>
  <c r="B29" i="1"/>
  <c r="A30" i="1"/>
  <c r="B30" i="1"/>
  <c r="A31" i="1"/>
  <c r="B31" i="1"/>
  <c r="A32" i="1"/>
  <c r="A33" i="1"/>
  <c r="B33" i="1"/>
  <c r="A34" i="1"/>
  <c r="B34" i="1"/>
  <c r="A35" i="1"/>
  <c r="B35" i="1"/>
  <c r="A36" i="1"/>
  <c r="B36" i="1"/>
  <c r="A37" i="1"/>
  <c r="B37" i="1"/>
  <c r="A38" i="1"/>
  <c r="B38" i="1"/>
  <c r="A39" i="1"/>
  <c r="B39" i="1"/>
  <c r="A40" i="1"/>
  <c r="A41" i="1"/>
  <c r="B41" i="1"/>
  <c r="A42" i="1"/>
  <c r="B42" i="1"/>
  <c r="A43" i="1"/>
  <c r="B43" i="1"/>
  <c r="A44" i="1"/>
  <c r="B44" i="1"/>
  <c r="A45" i="1"/>
  <c r="B45" i="1"/>
  <c r="A46" i="1"/>
  <c r="A47" i="1"/>
  <c r="B47" i="1"/>
  <c r="A48" i="1"/>
  <c r="A49" i="1"/>
  <c r="A50" i="1"/>
  <c r="B50" i="1"/>
  <c r="A51" i="1"/>
  <c r="A52" i="1"/>
  <c r="B52" i="1"/>
  <c r="A53" i="1"/>
  <c r="B53" i="1"/>
  <c r="A54" i="1"/>
  <c r="B54" i="1"/>
  <c r="A55" i="1"/>
  <c r="A56" i="1"/>
  <c r="A57" i="1"/>
  <c r="B57" i="1"/>
  <c r="A58" i="1"/>
  <c r="B58" i="1"/>
  <c r="A59" i="1"/>
  <c r="B59" i="1"/>
  <c r="A60" i="1"/>
  <c r="B60" i="1"/>
  <c r="A61" i="1"/>
  <c r="B61" i="1"/>
  <c r="A62" i="1"/>
  <c r="B62" i="1"/>
  <c r="A63" i="1"/>
  <c r="B63" i="1"/>
  <c r="A64" i="1"/>
  <c r="B64" i="1"/>
  <c r="A65" i="1"/>
  <c r="B65" i="1"/>
  <c r="A66" i="1"/>
  <c r="B66" i="1"/>
  <c r="A67" i="1"/>
  <c r="B67" i="1"/>
  <c r="A68" i="1"/>
  <c r="B68" i="1"/>
  <c r="A69" i="1"/>
  <c r="B69" i="1"/>
  <c r="A70" i="1"/>
  <c r="A71" i="1"/>
  <c r="A72" i="1"/>
  <c r="B72" i="1"/>
  <c r="A73" i="1"/>
  <c r="B73" i="1"/>
  <c r="A74" i="1"/>
  <c r="B74" i="1"/>
  <c r="A75" i="1"/>
  <c r="A76" i="1"/>
  <c r="B76" i="1"/>
  <c r="A77" i="1"/>
  <c r="B77" i="1"/>
  <c r="A78" i="1"/>
  <c r="B78" i="1"/>
  <c r="A79" i="1"/>
  <c r="B79" i="1"/>
  <c r="A80" i="1"/>
  <c r="B80" i="1"/>
  <c r="A81" i="1"/>
  <c r="B81" i="1"/>
  <c r="A82" i="1"/>
  <c r="B82" i="1"/>
  <c r="A83" i="1"/>
  <c r="B83" i="1"/>
  <c r="A84" i="1"/>
  <c r="A85" i="1"/>
  <c r="B85" i="1"/>
  <c r="A86" i="1"/>
  <c r="B86" i="1"/>
  <c r="A87" i="1"/>
  <c r="A88" i="1"/>
  <c r="B88" i="1"/>
  <c r="A89" i="1"/>
  <c r="B89" i="1"/>
  <c r="A90" i="1"/>
  <c r="A91" i="1"/>
  <c r="B91" i="1"/>
  <c r="A92" i="1"/>
  <c r="B92" i="1"/>
  <c r="A93" i="1"/>
  <c r="B93" i="1"/>
  <c r="A94" i="1"/>
  <c r="B94" i="1"/>
  <c r="A95" i="1"/>
  <c r="B95" i="1"/>
  <c r="A96" i="1"/>
  <c r="B96" i="1"/>
  <c r="A97" i="1"/>
  <c r="B97" i="1"/>
  <c r="A98" i="1"/>
  <c r="B98" i="1"/>
  <c r="A99" i="1"/>
  <c r="B99" i="1"/>
  <c r="A100" i="1"/>
  <c r="B100" i="1"/>
  <c r="A101" i="1"/>
  <c r="B101" i="1"/>
  <c r="A102" i="1"/>
  <c r="B102" i="1"/>
  <c r="A103" i="1"/>
  <c r="A104" i="1"/>
  <c r="A105" i="1"/>
  <c r="A106" i="1"/>
  <c r="B106" i="1"/>
  <c r="A107" i="1"/>
  <c r="B107" i="1"/>
  <c r="A108" i="1"/>
  <c r="B108" i="1"/>
  <c r="A109" i="1"/>
  <c r="B109" i="1"/>
  <c r="A110" i="1"/>
  <c r="B110" i="1"/>
  <c r="A111" i="1"/>
  <c r="B111" i="1"/>
  <c r="A112" i="1"/>
  <c r="A113" i="1"/>
  <c r="A114" i="1"/>
  <c r="B114" i="1"/>
  <c r="A115" i="1"/>
  <c r="B115" i="1"/>
  <c r="A116" i="1"/>
  <c r="B116" i="1"/>
  <c r="A117" i="1"/>
  <c r="B117" i="1"/>
  <c r="A118" i="1"/>
  <c r="B118" i="1"/>
  <c r="A119" i="1"/>
  <c r="B119" i="1"/>
  <c r="A120" i="1"/>
  <c r="B120" i="1"/>
  <c r="A121" i="1"/>
  <c r="B121" i="1"/>
  <c r="A122" i="1"/>
  <c r="A123" i="1"/>
  <c r="A124" i="1"/>
  <c r="A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A140" i="1"/>
  <c r="B140" i="1"/>
  <c r="A141" i="1"/>
  <c r="A142" i="1"/>
  <c r="A143" i="1"/>
  <c r="A144" i="1"/>
  <c r="A145" i="1"/>
  <c r="A146" i="1"/>
  <c r="B146" i="1"/>
  <c r="A147" i="1"/>
  <c r="B147" i="1"/>
  <c r="A148" i="1"/>
  <c r="B148" i="1"/>
  <c r="A149" i="1"/>
  <c r="B149" i="1"/>
  <c r="A150" i="1"/>
  <c r="B150" i="1"/>
  <c r="A151" i="1"/>
  <c r="A152" i="1"/>
  <c r="A153" i="1"/>
  <c r="B153" i="1"/>
  <c r="A154" i="1"/>
  <c r="B154" i="1"/>
  <c r="A155" i="1"/>
  <c r="B155" i="1"/>
  <c r="A156" i="1"/>
  <c r="B156" i="1"/>
  <c r="A157" i="1"/>
  <c r="A158" i="1"/>
  <c r="B158" i="1"/>
  <c r="A159" i="1"/>
  <c r="B159" i="1"/>
  <c r="A160" i="1"/>
  <c r="B160" i="1"/>
  <c r="A161" i="1"/>
  <c r="A162" i="1"/>
  <c r="B162" i="1"/>
  <c r="A163" i="1"/>
  <c r="A164" i="1"/>
  <c r="B164" i="1"/>
  <c r="A165" i="1"/>
  <c r="A166" i="1"/>
  <c r="A167" i="1"/>
  <c r="A168" i="1"/>
  <c r="B168" i="1"/>
  <c r="A169" i="1"/>
  <c r="B169" i="1"/>
  <c r="A170" i="1"/>
  <c r="A171" i="1"/>
  <c r="A172" i="1"/>
  <c r="A173" i="1"/>
  <c r="A174" i="1"/>
  <c r="B174" i="1"/>
  <c r="A175" i="1"/>
  <c r="B175" i="1"/>
  <c r="A176" i="1"/>
  <c r="B176" i="1"/>
  <c r="A177" i="1"/>
  <c r="B177" i="1"/>
  <c r="A178" i="1"/>
  <c r="B178" i="1"/>
  <c r="A179" i="1"/>
  <c r="B179" i="1"/>
  <c r="A180" i="1"/>
  <c r="A181" i="1"/>
  <c r="B181" i="1"/>
  <c r="A182" i="1"/>
  <c r="B182" i="1"/>
  <c r="A183" i="1"/>
  <c r="B183" i="1"/>
  <c r="A184" i="1"/>
  <c r="B184" i="1"/>
  <c r="A185" i="1"/>
  <c r="B185" i="1"/>
  <c r="A186" i="1"/>
  <c r="B186" i="1"/>
  <c r="A187" i="1"/>
  <c r="A188" i="1"/>
  <c r="A189" i="1"/>
  <c r="B189" i="1"/>
  <c r="A190" i="1"/>
  <c r="B190" i="1"/>
  <c r="A191" i="1"/>
  <c r="B191" i="1"/>
  <c r="A192" i="1"/>
  <c r="B192" i="1"/>
  <c r="A193" i="1"/>
  <c r="A194" i="1"/>
  <c r="A195" i="1"/>
  <c r="A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A216" i="1"/>
  <c r="A217" i="1"/>
  <c r="A218" i="1"/>
  <c r="A219" i="1"/>
  <c r="B219" i="1"/>
  <c r="A220" i="1"/>
  <c r="A221" i="1"/>
  <c r="A222" i="1"/>
  <c r="A223" i="1"/>
  <c r="A224" i="1"/>
  <c r="B224" i="1"/>
  <c r="A225" i="1"/>
  <c r="B225" i="1"/>
  <c r="A226" i="1"/>
  <c r="B226" i="1"/>
  <c r="A227" i="1"/>
  <c r="B227" i="1"/>
  <c r="A228" i="1"/>
  <c r="A229" i="1"/>
  <c r="B229" i="1"/>
  <c r="A230" i="1"/>
  <c r="B230" i="1"/>
  <c r="A231" i="1"/>
  <c r="A232" i="1"/>
  <c r="B232" i="1"/>
  <c r="A233" i="1"/>
  <c r="B233" i="1"/>
  <c r="A234" i="1"/>
  <c r="B234" i="1"/>
  <c r="A235" i="1"/>
  <c r="B235" i="1"/>
  <c r="A236" i="1"/>
  <c r="B236" i="1"/>
  <c r="A237" i="1"/>
  <c r="A238" i="1"/>
  <c r="B238" i="1"/>
  <c r="A239" i="1"/>
  <c r="B239" i="1"/>
  <c r="A240" i="1"/>
  <c r="B240" i="1"/>
  <c r="A241" i="1"/>
  <c r="B241" i="1"/>
  <c r="A242" i="1"/>
  <c r="B242" i="1"/>
  <c r="A243" i="1"/>
  <c r="B243" i="1"/>
  <c r="A244" i="1"/>
  <c r="B244" i="1"/>
  <c r="A245" i="1"/>
  <c r="B245" i="1"/>
  <c r="A246" i="1"/>
  <c r="B246" i="1"/>
  <c r="A247" i="1"/>
  <c r="A248" i="1"/>
  <c r="B248" i="1"/>
  <c r="A249" i="1"/>
  <c r="B249" i="1"/>
  <c r="A250" i="1"/>
  <c r="A251" i="1"/>
  <c r="B251" i="1"/>
  <c r="A252" i="1"/>
  <c r="B252" i="1"/>
  <c r="A253" i="1"/>
  <c r="B253" i="1"/>
  <c r="A254" i="1"/>
  <c r="A255" i="1"/>
  <c r="B255" i="1"/>
  <c r="A256" i="1"/>
  <c r="B256" i="1"/>
  <c r="A257" i="1"/>
  <c r="B257" i="1"/>
  <c r="A258" i="1"/>
  <c r="A259" i="1"/>
  <c r="B259" i="1"/>
  <c r="A260" i="1"/>
  <c r="B260" i="1"/>
  <c r="A261" i="1"/>
  <c r="B261" i="1"/>
  <c r="A262" i="1"/>
  <c r="B262" i="1"/>
  <c r="A263" i="1"/>
  <c r="B263" i="1"/>
  <c r="A264" i="1"/>
  <c r="B264" i="1"/>
  <c r="A265" i="1"/>
  <c r="B265" i="1"/>
  <c r="A266" i="1"/>
  <c r="B266" i="1"/>
  <c r="A267" i="1"/>
  <c r="A268" i="1"/>
  <c r="B268" i="1"/>
  <c r="A269" i="1"/>
  <c r="B269" i="1"/>
  <c r="A270" i="1"/>
  <c r="B270" i="1"/>
  <c r="A271" i="1"/>
  <c r="B271" i="1"/>
  <c r="A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A287" i="1"/>
  <c r="A288" i="1"/>
  <c r="B288" i="1"/>
  <c r="A289" i="1"/>
  <c r="B289" i="1"/>
  <c r="A290" i="1"/>
  <c r="B290" i="1"/>
  <c r="A291" i="1"/>
  <c r="B291" i="1"/>
  <c r="A292" i="1"/>
  <c r="B292" i="1"/>
  <c r="A293" i="1"/>
  <c r="B293" i="1"/>
  <c r="A294" i="1"/>
  <c r="B294" i="1"/>
  <c r="A295" i="1"/>
  <c r="A296" i="1"/>
  <c r="B296" i="1"/>
  <c r="A297" i="1"/>
  <c r="A298" i="1"/>
  <c r="A299" i="1"/>
  <c r="B299" i="1"/>
  <c r="A300" i="1"/>
  <c r="B300" i="1"/>
  <c r="A301" i="1"/>
  <c r="B301" i="1"/>
  <c r="A302" i="1"/>
  <c r="B302" i="1"/>
  <c r="A303" i="1"/>
  <c r="A304" i="1"/>
  <c r="B304" i="1"/>
  <c r="A305" i="1"/>
  <c r="A306" i="1"/>
  <c r="B306" i="1"/>
  <c r="A307" i="1"/>
  <c r="B307" i="1"/>
  <c r="A308" i="1"/>
  <c r="B308" i="1"/>
  <c r="A309" i="1"/>
  <c r="A310" i="1"/>
  <c r="B310" i="1"/>
  <c r="A311" i="1"/>
  <c r="A312" i="1"/>
  <c r="A313" i="1"/>
  <c r="B313" i="1"/>
  <c r="A314" i="1"/>
  <c r="B314" i="1"/>
  <c r="A315" i="1"/>
  <c r="B315" i="1"/>
  <c r="A316" i="1"/>
  <c r="A317" i="1"/>
  <c r="A318" i="1"/>
  <c r="B318" i="1"/>
  <c r="A319" i="1"/>
  <c r="A320" i="1"/>
  <c r="B320" i="1"/>
  <c r="A321" i="1"/>
  <c r="B321" i="1"/>
  <c r="A322" i="1"/>
  <c r="B322" i="1"/>
  <c r="A323" i="1"/>
  <c r="B323" i="1"/>
  <c r="A324" i="1"/>
  <c r="B324" i="1"/>
  <c r="A325" i="1"/>
  <c r="B325" i="1"/>
  <c r="A326" i="1"/>
  <c r="B326" i="1"/>
  <c r="A327" i="1"/>
  <c r="B327" i="1"/>
  <c r="A328" i="1"/>
  <c r="A329" i="1"/>
  <c r="A330" i="1"/>
  <c r="A331" i="1"/>
  <c r="A332" i="1"/>
  <c r="A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A347" i="1"/>
  <c r="B347" i="1"/>
  <c r="A348" i="1"/>
  <c r="B348" i="1"/>
  <c r="A349" i="1"/>
  <c r="B349" i="1"/>
  <c r="A350" i="1"/>
  <c r="B350" i="1"/>
  <c r="A351" i="1"/>
  <c r="B351" i="1"/>
  <c r="A352" i="1"/>
  <c r="B352" i="1"/>
  <c r="A353" i="1"/>
  <c r="A354" i="1"/>
  <c r="B354" i="1"/>
  <c r="A355" i="1"/>
  <c r="A356" i="1"/>
  <c r="B356" i="1"/>
  <c r="A357" i="1"/>
  <c r="B357" i="1"/>
  <c r="A358" i="1"/>
  <c r="B358" i="1"/>
  <c r="A359" i="1"/>
  <c r="B359" i="1"/>
  <c r="A360" i="1"/>
  <c r="B360" i="1"/>
  <c r="A361" i="1"/>
  <c r="A362" i="1"/>
  <c r="A363" i="1"/>
  <c r="A364" i="1"/>
  <c r="B364" i="1"/>
  <c r="A365" i="1"/>
  <c r="B365" i="1"/>
  <c r="A366" i="1"/>
  <c r="A367" i="1"/>
  <c r="B367" i="1"/>
  <c r="A368" i="1"/>
  <c r="B368" i="1"/>
  <c r="A369" i="1"/>
  <c r="A370" i="1"/>
  <c r="A371" i="1"/>
  <c r="A372" i="1"/>
  <c r="B372" i="1"/>
  <c r="A373" i="1"/>
  <c r="A374" i="1"/>
  <c r="A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A390" i="1"/>
  <c r="B390" i="1"/>
  <c r="A391" i="1"/>
  <c r="B391" i="1"/>
  <c r="A392" i="1"/>
  <c r="B392" i="1"/>
  <c r="A393" i="1"/>
  <c r="A394" i="1"/>
  <c r="B394" i="1"/>
  <c r="A395" i="1"/>
  <c r="B395" i="1"/>
  <c r="A396" i="1"/>
  <c r="B396" i="1"/>
  <c r="A397" i="1"/>
  <c r="B397" i="1"/>
  <c r="A398" i="1"/>
  <c r="B398" i="1"/>
  <c r="A399" i="1"/>
  <c r="A400" i="1"/>
  <c r="A401" i="1"/>
  <c r="A402" i="1"/>
  <c r="A403" i="1"/>
  <c r="A404" i="1"/>
  <c r="A405" i="1"/>
  <c r="A406" i="1"/>
  <c r="B406" i="1"/>
  <c r="A407" i="1"/>
  <c r="B407" i="1"/>
  <c r="A408" i="1"/>
  <c r="B408" i="1"/>
  <c r="A409" i="1"/>
  <c r="B409" i="1"/>
  <c r="A410" i="1"/>
  <c r="B410" i="1"/>
  <c r="A411" i="1"/>
  <c r="B411" i="1"/>
  <c r="A412" i="1"/>
  <c r="B412" i="1"/>
  <c r="A413" i="1"/>
  <c r="B413" i="1"/>
  <c r="A414" i="1"/>
  <c r="B414" i="1"/>
  <c r="A415" i="1"/>
  <c r="B415" i="1"/>
  <c r="A416" i="1"/>
  <c r="B416" i="1"/>
  <c r="A417" i="1"/>
  <c r="A418" i="1"/>
  <c r="B418" i="1"/>
  <c r="A419" i="1"/>
  <c r="B419" i="1"/>
  <c r="A420" i="1"/>
  <c r="A421" i="1"/>
  <c r="B421" i="1"/>
  <c r="A422" i="1"/>
  <c r="B422" i="1"/>
  <c r="A423" i="1"/>
  <c r="B423" i="1"/>
  <c r="A424" i="1"/>
  <c r="B424" i="1"/>
  <c r="A425" i="1"/>
  <c r="B425" i="1"/>
  <c r="A426" i="1"/>
  <c r="B426" i="1"/>
  <c r="A427" i="1"/>
  <c r="B427" i="1"/>
  <c r="A428" i="1"/>
  <c r="B428" i="1"/>
  <c r="A429" i="1"/>
  <c r="A430" i="1"/>
  <c r="A431" i="1"/>
  <c r="B431" i="1"/>
  <c r="A432" i="1"/>
  <c r="B432" i="1"/>
  <c r="A433" i="1"/>
  <c r="B433" i="1"/>
  <c r="A434" i="1"/>
  <c r="A435" i="1"/>
  <c r="B435" i="1"/>
  <c r="A436" i="1"/>
  <c r="B436" i="1"/>
  <c r="A437" i="1"/>
  <c r="B437" i="1"/>
  <c r="A438" i="1"/>
  <c r="A439" i="1"/>
  <c r="B439" i="1"/>
  <c r="A440" i="1"/>
  <c r="B440" i="1"/>
  <c r="A441" i="1"/>
  <c r="B441" i="1"/>
  <c r="A442" i="1"/>
  <c r="A443" i="1"/>
  <c r="B443" i="1"/>
  <c r="A444" i="1"/>
  <c r="B444" i="1"/>
  <c r="A445" i="1"/>
  <c r="B445" i="1"/>
  <c r="A446" i="1"/>
  <c r="B446" i="1"/>
  <c r="A447" i="1"/>
  <c r="A448" i="1"/>
  <c r="A449" i="1"/>
  <c r="A450" i="1"/>
  <c r="B450" i="1"/>
  <c r="A451" i="1"/>
  <c r="B451" i="1"/>
  <c r="A452" i="1"/>
  <c r="B452" i="1"/>
  <c r="A453" i="1"/>
  <c r="B453" i="1"/>
  <c r="A454" i="1"/>
  <c r="B454" i="1"/>
  <c r="A455" i="1"/>
  <c r="B455" i="1"/>
  <c r="A456" i="1"/>
  <c r="B456" i="1"/>
  <c r="A457" i="1"/>
  <c r="A458" i="1"/>
  <c r="B458" i="1"/>
  <c r="A459" i="1"/>
  <c r="A460" i="1"/>
  <c r="B460" i="1"/>
  <c r="A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A479" i="1"/>
  <c r="B479" i="1"/>
  <c r="A480" i="1"/>
  <c r="A481" i="1"/>
  <c r="B481" i="1"/>
  <c r="A482" i="1"/>
  <c r="A483" i="1"/>
  <c r="B483" i="1"/>
  <c r="A484" i="1"/>
  <c r="B484" i="1"/>
  <c r="A485" i="1"/>
  <c r="B485" i="1"/>
  <c r="A486" i="1"/>
  <c r="A487" i="1"/>
  <c r="B487" i="1"/>
  <c r="A488" i="1"/>
  <c r="A489" i="1"/>
  <c r="A490" i="1"/>
  <c r="A491" i="1"/>
  <c r="B491" i="1"/>
  <c r="A492" i="1"/>
  <c r="B492" i="1"/>
  <c r="A493" i="1"/>
  <c r="B493" i="1"/>
  <c r="A494" i="1"/>
  <c r="B494" i="1"/>
  <c r="A495" i="1"/>
  <c r="A496" i="1"/>
  <c r="B496" i="1"/>
  <c r="A497" i="1"/>
  <c r="B497" i="1"/>
  <c r="A498" i="1"/>
  <c r="B498" i="1"/>
  <c r="A499" i="1"/>
  <c r="B499" i="1"/>
  <c r="A500" i="1"/>
  <c r="B500" i="1"/>
  <c r="A501" i="1"/>
  <c r="B501" i="1"/>
  <c r="A502" i="1"/>
  <c r="A503" i="1"/>
  <c r="A504" i="1"/>
  <c r="A505" i="1"/>
  <c r="B505" i="1"/>
  <c r="A506" i="1"/>
  <c r="B506" i="1"/>
  <c r="A507" i="1"/>
  <c r="A508" i="1"/>
  <c r="B508" i="1"/>
  <c r="A509" i="1"/>
  <c r="B509" i="1"/>
  <c r="A510" i="1"/>
  <c r="A511" i="1"/>
  <c r="B511" i="1"/>
  <c r="A512" i="1"/>
  <c r="B512" i="1"/>
  <c r="A513" i="1"/>
  <c r="B513" i="1"/>
  <c r="A514" i="1"/>
  <c r="A515" i="1"/>
  <c r="A516" i="1"/>
  <c r="A517" i="1"/>
  <c r="A518" i="1"/>
  <c r="A519" i="1"/>
  <c r="B519" i="1"/>
  <c r="A520" i="1"/>
  <c r="B520" i="1"/>
  <c r="A521" i="1"/>
  <c r="B521" i="1"/>
  <c r="A522" i="1"/>
  <c r="B522" i="1"/>
  <c r="A523" i="1"/>
  <c r="B523" i="1"/>
  <c r="A524" i="1"/>
  <c r="B524" i="1"/>
  <c r="A525" i="1"/>
  <c r="B525" i="1"/>
  <c r="A526" i="1"/>
  <c r="B526" i="1"/>
  <c r="A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A541" i="1"/>
  <c r="A542" i="1"/>
  <c r="B542" i="1"/>
  <c r="A543" i="1"/>
  <c r="B543" i="1"/>
  <c r="A544" i="1"/>
  <c r="A545" i="1"/>
  <c r="B545" i="1"/>
  <c r="A546" i="1"/>
  <c r="B546" i="1"/>
  <c r="A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A565" i="1"/>
  <c r="A566" i="1"/>
  <c r="A567" i="1"/>
  <c r="B567" i="1"/>
  <c r="A568" i="1"/>
  <c r="A569" i="1"/>
  <c r="A570" i="1"/>
  <c r="A571" i="1"/>
  <c r="A572" i="1"/>
  <c r="A573" i="1"/>
  <c r="B573" i="1"/>
  <c r="A574" i="1"/>
  <c r="A575" i="1"/>
  <c r="A576" i="1"/>
  <c r="A577" i="1"/>
  <c r="B577" i="1"/>
  <c r="A578" i="1"/>
  <c r="B578" i="1"/>
  <c r="A579" i="1"/>
  <c r="B579" i="1"/>
  <c r="A580" i="1"/>
  <c r="B580" i="1"/>
  <c r="A581" i="1"/>
  <c r="B581" i="1"/>
  <c r="A582" i="1"/>
  <c r="A583" i="1"/>
  <c r="A584" i="1"/>
  <c r="A585" i="1"/>
  <c r="B585" i="1"/>
  <c r="A586" i="1"/>
  <c r="B586" i="1"/>
  <c r="A587" i="1"/>
  <c r="B587" i="1"/>
  <c r="A588" i="1"/>
  <c r="B588" i="1"/>
  <c r="A589" i="1"/>
  <c r="B589" i="1"/>
  <c r="A590" i="1"/>
  <c r="B590" i="1"/>
  <c r="A591" i="1"/>
  <c r="B591" i="1"/>
  <c r="A592" i="1"/>
  <c r="A593" i="1"/>
  <c r="B593" i="1"/>
  <c r="A594" i="1"/>
  <c r="A595" i="1"/>
  <c r="B595" i="1"/>
  <c r="A596" i="1"/>
  <c r="B596" i="1"/>
  <c r="A597" i="1"/>
  <c r="A598" i="1"/>
  <c r="B598" i="1"/>
  <c r="A599" i="1"/>
  <c r="B599" i="1"/>
  <c r="A600" i="1"/>
  <c r="A601" i="1"/>
  <c r="A602" i="1"/>
  <c r="A603" i="1"/>
  <c r="B603" i="1"/>
  <c r="A604" i="1"/>
  <c r="B604" i="1"/>
  <c r="A605" i="1"/>
  <c r="A606" i="1"/>
  <c r="B606" i="1"/>
  <c r="A607" i="1"/>
  <c r="B607" i="1"/>
  <c r="A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A622" i="1"/>
  <c r="B622" i="1"/>
  <c r="A623" i="1"/>
  <c r="B623" i="1"/>
  <c r="A624" i="1"/>
  <c r="B624" i="1"/>
  <c r="A625" i="1"/>
  <c r="B625" i="1"/>
  <c r="A626" i="1"/>
  <c r="B626" i="1"/>
  <c r="A627" i="1"/>
  <c r="B627" i="1"/>
  <c r="A628" i="1"/>
  <c r="A629" i="1"/>
  <c r="B629" i="1"/>
  <c r="A630" i="1"/>
  <c r="B630" i="1"/>
  <c r="A631" i="1"/>
  <c r="B631" i="1"/>
  <c r="A632" i="1"/>
  <c r="B632" i="1"/>
  <c r="A633" i="1"/>
  <c r="B633" i="1"/>
  <c r="A634" i="1"/>
  <c r="B634" i="1"/>
  <c r="A635" i="1"/>
  <c r="B635" i="1"/>
  <c r="A636" i="1"/>
  <c r="B636" i="1"/>
  <c r="A637" i="1"/>
  <c r="A638" i="1"/>
  <c r="B638" i="1"/>
  <c r="A639" i="1"/>
  <c r="B639" i="1"/>
  <c r="A640" i="1"/>
  <c r="B640" i="1"/>
  <c r="A641" i="1"/>
  <c r="B641" i="1"/>
  <c r="A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A657" i="1"/>
  <c r="B657" i="1"/>
  <c r="A658" i="1"/>
  <c r="B658" i="1"/>
  <c r="A659" i="1"/>
  <c r="B659" i="1"/>
  <c r="A660" i="1"/>
  <c r="B660" i="1"/>
  <c r="A661" i="1"/>
  <c r="A662" i="1"/>
  <c r="A663" i="1"/>
  <c r="B663" i="1"/>
  <c r="A664" i="1"/>
  <c r="A665" i="1"/>
  <c r="B665" i="1"/>
  <c r="A666" i="1"/>
  <c r="B666" i="1"/>
  <c r="A667" i="1"/>
  <c r="B667" i="1"/>
  <c r="A668" i="1"/>
  <c r="B668" i="1"/>
  <c r="A669" i="1"/>
  <c r="A670" i="1"/>
  <c r="A671" i="1"/>
  <c r="A672" i="1"/>
  <c r="B672" i="1"/>
  <c r="A673" i="1"/>
  <c r="B673" i="1"/>
  <c r="A674" i="1"/>
  <c r="B674" i="1"/>
  <c r="A675" i="1"/>
  <c r="B675" i="1"/>
  <c r="A676" i="1"/>
  <c r="B676" i="1"/>
  <c r="A677" i="1"/>
  <c r="B677" i="1"/>
  <c r="A678" i="1"/>
  <c r="A679" i="1"/>
  <c r="B679" i="1"/>
  <c r="A680" i="1"/>
  <c r="B680" i="1"/>
  <c r="A681" i="1"/>
  <c r="B681" i="1"/>
  <c r="A682" i="1"/>
  <c r="A683" i="1"/>
  <c r="A684" i="1"/>
  <c r="B684" i="1"/>
  <c r="A685" i="1"/>
  <c r="B685" i="1"/>
  <c r="A686" i="1"/>
  <c r="B686" i="1"/>
  <c r="A687" i="1"/>
  <c r="B687" i="1"/>
  <c r="A688" i="1"/>
  <c r="B688" i="1"/>
  <c r="A689" i="1"/>
  <c r="B689" i="1"/>
  <c r="A690" i="1"/>
  <c r="A691" i="1"/>
  <c r="B691" i="1"/>
  <c r="A692" i="1"/>
  <c r="A693" i="1"/>
  <c r="B693" i="1"/>
  <c r="A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A719" i="1"/>
  <c r="B719" i="1"/>
  <c r="A720" i="1"/>
  <c r="A721" i="1"/>
  <c r="A722" i="1"/>
  <c r="A723" i="1"/>
  <c r="B723" i="1"/>
  <c r="A724" i="1"/>
  <c r="B724" i="1"/>
  <c r="A725" i="1"/>
  <c r="A726" i="1"/>
  <c r="B726" i="1"/>
  <c r="A727" i="1"/>
  <c r="B727" i="1"/>
  <c r="A728" i="1"/>
  <c r="B728" i="1"/>
  <c r="A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A745" i="1"/>
  <c r="B745" i="1"/>
  <c r="A746" i="1"/>
  <c r="B746" i="1"/>
  <c r="A747" i="1"/>
  <c r="A748" i="1"/>
  <c r="A749" i="1"/>
  <c r="B749" i="1"/>
  <c r="A750" i="1"/>
  <c r="A751" i="1"/>
  <c r="B751" i="1"/>
  <c r="A752" i="1"/>
  <c r="B752" i="1"/>
  <c r="A753" i="1"/>
  <c r="B753" i="1"/>
  <c r="A754" i="1"/>
  <c r="A755" i="1"/>
  <c r="B755" i="1"/>
  <c r="A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A776" i="1"/>
  <c r="B776" i="1"/>
  <c r="A777" i="1"/>
  <c r="B777" i="1"/>
  <c r="A778" i="1"/>
  <c r="B778" i="1"/>
  <c r="A779" i="1"/>
  <c r="B779" i="1"/>
  <c r="A780" i="1"/>
  <c r="B780" i="1"/>
  <c r="A781" i="1"/>
  <c r="B781" i="1"/>
  <c r="A782" i="1"/>
  <c r="A783" i="1"/>
  <c r="B783" i="1"/>
  <c r="A784" i="1"/>
  <c r="B784" i="1"/>
  <c r="A785" i="1"/>
  <c r="B785" i="1"/>
  <c r="A786" i="1"/>
  <c r="B786" i="1"/>
  <c r="A787" i="1"/>
  <c r="B787" i="1"/>
  <c r="A788" i="1"/>
  <c r="B788" i="1"/>
  <c r="A789" i="1"/>
  <c r="A790" i="1"/>
  <c r="A791" i="1"/>
  <c r="B791" i="1"/>
  <c r="A792" i="1"/>
  <c r="B792" i="1"/>
  <c r="A793" i="1"/>
  <c r="B793" i="1"/>
  <c r="A794" i="1"/>
  <c r="B794" i="1"/>
  <c r="A795" i="1"/>
  <c r="A796" i="1"/>
  <c r="B796" i="1"/>
  <c r="A797" i="1"/>
  <c r="A798" i="1"/>
  <c r="B798" i="1"/>
  <c r="A799" i="1"/>
  <c r="A800" i="1"/>
  <c r="B800" i="1"/>
  <c r="A801" i="1"/>
  <c r="B801" i="1"/>
  <c r="A802" i="1"/>
  <c r="B802" i="1"/>
  <c r="A803" i="1"/>
  <c r="B803" i="1"/>
  <c r="A804" i="1"/>
  <c r="A805" i="1"/>
  <c r="B805" i="1"/>
  <c r="A806" i="1"/>
  <c r="B806" i="1"/>
  <c r="A807" i="1"/>
  <c r="A808" i="1"/>
  <c r="B808" i="1"/>
  <c r="A809" i="1"/>
  <c r="B809" i="1"/>
  <c r="A810" i="1"/>
  <c r="B810" i="1"/>
  <c r="A811" i="1"/>
  <c r="B811" i="1"/>
  <c r="A812" i="1"/>
  <c r="B812" i="1"/>
  <c r="A813" i="1"/>
  <c r="B813" i="1"/>
  <c r="A814" i="1"/>
  <c r="B814" i="1"/>
  <c r="A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A834" i="1"/>
  <c r="A835" i="1"/>
  <c r="B835" i="1"/>
  <c r="A836" i="1"/>
  <c r="A837" i="1"/>
  <c r="B837" i="1"/>
  <c r="A838" i="1"/>
  <c r="A839" i="1"/>
  <c r="B839" i="1"/>
  <c r="A840" i="1"/>
  <c r="B840" i="1"/>
  <c r="A841" i="1"/>
  <c r="B841" i="1"/>
  <c r="A842" i="1"/>
  <c r="B842" i="1"/>
  <c r="A843" i="1"/>
  <c r="A844" i="1"/>
  <c r="B844" i="1"/>
  <c r="A845" i="1"/>
  <c r="B845" i="1"/>
  <c r="A846" i="1"/>
  <c r="A847" i="1"/>
  <c r="B847" i="1"/>
  <c r="A848" i="1"/>
  <c r="B848" i="1"/>
  <c r="A849" i="1"/>
  <c r="B849" i="1"/>
  <c r="A850" i="1"/>
  <c r="B850" i="1"/>
  <c r="A851" i="1"/>
  <c r="B851" i="1"/>
  <c r="A852" i="1"/>
  <c r="B852" i="1"/>
  <c r="A853" i="1"/>
  <c r="B853" i="1"/>
  <c r="A854" i="1"/>
  <c r="B854" i="1"/>
  <c r="A855" i="1"/>
  <c r="B855" i="1"/>
  <c r="A856" i="1"/>
  <c r="A857" i="1"/>
  <c r="B857" i="1"/>
  <c r="A858" i="1"/>
  <c r="B858" i="1"/>
  <c r="A859" i="1"/>
  <c r="B859" i="1"/>
  <c r="A860" i="1"/>
  <c r="B860" i="1"/>
  <c r="A861" i="1"/>
  <c r="A862" i="1"/>
  <c r="A863" i="1"/>
  <c r="B863" i="1"/>
  <c r="A864" i="1"/>
  <c r="B864" i="1"/>
  <c r="A865" i="1"/>
  <c r="B865" i="1"/>
  <c r="A866" i="1"/>
  <c r="A867" i="1"/>
  <c r="A868" i="1"/>
  <c r="B868" i="1"/>
  <c r="A869" i="1"/>
  <c r="A870" i="1"/>
  <c r="B870" i="1"/>
  <c r="A871" i="1"/>
  <c r="A872" i="1"/>
  <c r="B872" i="1"/>
  <c r="A873" i="1"/>
  <c r="B873" i="1"/>
  <c r="A874" i="1"/>
  <c r="B874" i="1"/>
  <c r="A875" i="1"/>
  <c r="B875" i="1"/>
  <c r="A876" i="1"/>
  <c r="B876" i="1"/>
  <c r="A877" i="1"/>
  <c r="B877" i="1"/>
  <c r="A878" i="1"/>
  <c r="B878" i="1"/>
  <c r="A879" i="1"/>
  <c r="A880" i="1"/>
  <c r="B880" i="1"/>
  <c r="A881" i="1"/>
  <c r="B881" i="1"/>
  <c r="A882" i="1"/>
  <c r="B882" i="1"/>
  <c r="A883" i="1"/>
  <c r="B883" i="1"/>
  <c r="A884" i="1"/>
  <c r="A885" i="1"/>
  <c r="A886" i="1"/>
  <c r="A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A903" i="1"/>
  <c r="A904" i="1"/>
  <c r="A905" i="1"/>
  <c r="B905" i="1"/>
  <c r="A906" i="1"/>
  <c r="B906" i="1"/>
  <c r="A907" i="1"/>
  <c r="A908" i="1"/>
  <c r="B908" i="1"/>
  <c r="A909" i="1"/>
  <c r="B909" i="1"/>
  <c r="A910" i="1"/>
  <c r="B910" i="1"/>
  <c r="A911" i="1"/>
  <c r="B911" i="1"/>
  <c r="A912" i="1"/>
  <c r="B912" i="1"/>
  <c r="A913" i="1"/>
  <c r="B913" i="1"/>
  <c r="A914" i="1"/>
  <c r="B914" i="1"/>
  <c r="A915" i="1"/>
  <c r="A916" i="1"/>
  <c r="B916" i="1"/>
  <c r="A917" i="1"/>
  <c r="B917" i="1"/>
  <c r="A918" i="1"/>
  <c r="B918" i="1"/>
  <c r="A919" i="1"/>
  <c r="B919" i="1"/>
  <c r="A920" i="1"/>
  <c r="A921" i="1"/>
  <c r="B921" i="1"/>
  <c r="A922" i="1"/>
  <c r="B922" i="1"/>
  <c r="A923" i="1"/>
  <c r="A924" i="1"/>
  <c r="B924" i="1"/>
  <c r="A925" i="1"/>
  <c r="B925" i="1"/>
  <c r="A926" i="1"/>
  <c r="B926" i="1"/>
  <c r="A927" i="1"/>
  <c r="B927" i="1"/>
  <c r="A928" i="1"/>
  <c r="B928" i="1"/>
  <c r="A929" i="1"/>
  <c r="B929" i="1"/>
  <c r="A930" i="1"/>
  <c r="B930" i="1"/>
  <c r="A931" i="1"/>
  <c r="B931" i="1"/>
  <c r="A932" i="1"/>
  <c r="B932" i="1"/>
  <c r="A933" i="1"/>
  <c r="B933" i="1"/>
  <c r="A934" i="1"/>
  <c r="A935" i="1"/>
  <c r="A936" i="1"/>
  <c r="B936" i="1"/>
  <c r="A937" i="1"/>
  <c r="B937" i="1"/>
  <c r="A938" i="1"/>
  <c r="B938" i="1"/>
  <c r="A939" i="1"/>
  <c r="A940" i="1"/>
  <c r="A941" i="1"/>
  <c r="A942" i="1"/>
  <c r="A943" i="1"/>
  <c r="A944" i="1"/>
  <c r="B944" i="1"/>
  <c r="A945" i="1"/>
  <c r="B945" i="1"/>
  <c r="A946" i="1"/>
  <c r="B946" i="1"/>
  <c r="A947" i="1"/>
  <c r="B947" i="1"/>
  <c r="A948" i="1"/>
  <c r="B948" i="1"/>
  <c r="A949" i="1"/>
  <c r="B949" i="1"/>
  <c r="A950" i="1"/>
  <c r="B950" i="1"/>
  <c r="A951" i="1"/>
  <c r="B951" i="1"/>
  <c r="A952" i="1"/>
  <c r="B952" i="1"/>
  <c r="A953" i="1"/>
  <c r="A954" i="1"/>
  <c r="A955" i="1"/>
  <c r="B955" i="1"/>
  <c r="A956" i="1"/>
  <c r="B956" i="1"/>
  <c r="A957" i="1"/>
  <c r="B957" i="1"/>
  <c r="A958" i="1"/>
  <c r="B958" i="1"/>
  <c r="A959" i="1"/>
  <c r="B959" i="1"/>
  <c r="A960" i="1"/>
  <c r="A961" i="1"/>
  <c r="A962" i="1"/>
  <c r="A963" i="1"/>
  <c r="A964" i="1"/>
  <c r="B964" i="1"/>
  <c r="A965" i="1"/>
  <c r="B965" i="1"/>
  <c r="A966" i="1"/>
  <c r="A967" i="1"/>
  <c r="A968" i="1"/>
  <c r="B968" i="1"/>
  <c r="A969" i="1"/>
  <c r="B969" i="1"/>
  <c r="A970" i="1"/>
  <c r="B970" i="1"/>
  <c r="A971" i="1"/>
  <c r="B971" i="1"/>
  <c r="A972" i="1"/>
  <c r="A973" i="1"/>
  <c r="B973" i="1"/>
  <c r="A974" i="1"/>
  <c r="A975" i="1"/>
  <c r="A976" i="1"/>
  <c r="B976" i="1"/>
  <c r="A977" i="1"/>
  <c r="B977" i="1"/>
  <c r="A978" i="1"/>
  <c r="B978" i="1"/>
  <c r="A979" i="1"/>
  <c r="B979" i="1"/>
  <c r="A980" i="1"/>
  <c r="B980" i="1"/>
  <c r="A981" i="1"/>
  <c r="B981" i="1"/>
  <c r="A982" i="1"/>
  <c r="A983" i="1"/>
  <c r="A984" i="1"/>
  <c r="A985" i="1"/>
  <c r="B985" i="1"/>
  <c r="A986" i="1"/>
  <c r="B986" i="1"/>
  <c r="A987" i="1"/>
  <c r="B987" i="1"/>
  <c r="A988" i="1"/>
  <c r="B988" i="1"/>
  <c r="A989" i="1"/>
  <c r="B989" i="1"/>
  <c r="A990" i="1"/>
  <c r="A991" i="1"/>
  <c r="A992" i="1"/>
  <c r="A993" i="1"/>
  <c r="B993" i="1"/>
  <c r="A994" i="1"/>
  <c r="B994" i="1"/>
  <c r="A995" i="1"/>
  <c r="A996" i="1"/>
  <c r="A997" i="1"/>
  <c r="A998" i="1"/>
  <c r="B998" i="1"/>
  <c r="A999" i="1"/>
  <c r="B999" i="1"/>
  <c r="A1000" i="1"/>
  <c r="B1000" i="1"/>
  <c r="A1001" i="1"/>
  <c r="B1001" i="1"/>
  <c r="A1002" i="1"/>
  <c r="B1002" i="1"/>
  <c r="A1003" i="1"/>
  <c r="B1003" i="1"/>
  <c r="A1004" i="1"/>
  <c r="B1004" i="1"/>
  <c r="A1005" i="1"/>
  <c r="B1005" i="1"/>
  <c r="A1006" i="1"/>
  <c r="B1006" i="1"/>
  <c r="A1007" i="1"/>
  <c r="A1008" i="1"/>
  <c r="A1009" i="1"/>
  <c r="A1010" i="1"/>
  <c r="B1010" i="1"/>
  <c r="A1011" i="1"/>
  <c r="B1011" i="1"/>
  <c r="A1012" i="1"/>
  <c r="B1012" i="1"/>
  <c r="A1013" i="1"/>
  <c r="B1013" i="1"/>
  <c r="A1014" i="1"/>
  <c r="A1015" i="1"/>
  <c r="A1016" i="1"/>
  <c r="B1016" i="1"/>
  <c r="A1017" i="1"/>
  <c r="B1017" i="1"/>
  <c r="A1018" i="1"/>
  <c r="B1018" i="1"/>
  <c r="A1019" i="1"/>
  <c r="B1019" i="1"/>
  <c r="A1020" i="1"/>
  <c r="B1020" i="1"/>
  <c r="A1021" i="1"/>
  <c r="A1022" i="1"/>
  <c r="B1022" i="1"/>
  <c r="A1023" i="1"/>
  <c r="B1023" i="1"/>
  <c r="A1024" i="1"/>
  <c r="A1025" i="1"/>
  <c r="A1026" i="1"/>
  <c r="B1026" i="1"/>
  <c r="A1027" i="1"/>
  <c r="B1027" i="1"/>
  <c r="A1028" i="1"/>
  <c r="B1028" i="1"/>
  <c r="A1029" i="1"/>
</calcChain>
</file>

<file path=xl/sharedStrings.xml><?xml version="1.0" encoding="utf-8"?>
<sst xmlns="http://schemas.openxmlformats.org/spreadsheetml/2006/main" count="284" uniqueCount="113">
  <si>
    <t>Produced:</t>
  </si>
  <si>
    <t>Mois(C):</t>
  </si>
  <si>
    <t>Annee(C):</t>
  </si>
  <si>
    <t>BUREAU(C):</t>
  </si>
  <si>
    <t>SYSCOM(C):</t>
  </si>
  <si>
    <t>FLUX(C):</t>
  </si>
  <si>
    <t>PROVDEST(C):</t>
  </si>
  <si>
    <t>PARTENAIRE(B):</t>
  </si>
  <si>
    <t>Y Axis (1)</t>
  </si>
  <si>
    <t>PRODUIT(B):</t>
  </si>
  <si>
    <t>Y Axis (2)</t>
  </si>
  <si>
    <t>INDICATORS(B):</t>
  </si>
  <si>
    <t>X Axis (1)</t>
  </si>
  <si>
    <t>=t("   POISSONS D'EAU DOUCE ET DE MER, COMESTIBLES, CONGELÉS (À L'EXCL. DES SALMONIDÉS, DES POISSONS PLATS, DES THONS, DES LISTAOS OU BONITES À VENTRE RAYÉ, DES HARENGS, DES MORUES, DES ESPADONS, DES LÉGINES, DES SARDINES, DES SARDINELLES, DES SPRATS OU E</t>
  </si>
  <si>
    <t>=t("   Racines d'arrow-root ou de salep, topinambours et racines et tubercules simil. à haute teneur en fécule ou en inuline, frais, réfrigérés, congelés ou séchés, même débités en morceaux ou agglomérés sous forme de pellets et moelle de sagoutier (à l'e</t>
  </si>
  <si>
    <t>=t("   AGRUMES, FRAIS OU SECS (À L'EXCL. DES ORANGES, DES CITRONS 'CITRUS LIMON, CITRUS LIMONUM', DES LIMES 'CITRUS AURANTIFOLIA, CITRUS LATIFOLIA', DES PAMPLEMOUSSES, DES POMÉLOS, DES MANDARINES - Y.C. LES TANGERINES ET LES SATSUMAS -, DES CLÉMENTINES, D</t>
  </si>
  <si>
    <t>=t("   GRAINES ET FRUITS OLÉAGINEUX, MÊME CONCASSÉS (À L'EXCL. DES FRUITS À COQUE COMESTIBLES, DES OLIVES, DES FÈVES DE SOJA, DES ARACHIDES, DU COPRAH ET DES GRAINES DE LIN, DE NAVETTE, DE COLZA, DE TOURNESOL, DE COTON, DE SÉSAME, DE MOUTARDE, D'OEILLETTE</t>
  </si>
  <si>
    <t>=t("   Graisses et huiles végétales et leurs fractions, fixes, même raffinées, mais non chimiquement modifiées (à l'excl. des huiles de soja, d'arachide, d'olive, de palme, de tournesol, de carthame, de coton, de coco [coprah], de palmiste, de babassu, de</t>
  </si>
  <si>
    <t xml:space="preserve">=t("   Mélanges ou préparations alimentaires de graisses ou huiles animales ou végétales ou de fractions comestibles de différentes graisses ou huiles (sauf graisses et huiles et leurs fractions, partiellement ou totalement hydrogénées, interestérifiées, </t>
  </si>
  <si>
    <t>=t("   Préparations alimentaires de farines, gruaux, semoules, amidons, fécules ou extraits de malt, ne contenant pas de cacao ou contenant &lt; 40% en poids de cacao calculés sur une base entièrement dégraissée, n.d.a.; préparations alimentaires à base de l</t>
  </si>
  <si>
    <t>=t("   Produits de la boulangerie, pâtisserie ou biscuiterie, même additionnés de cacao, hosties, cachets vides des types utilisés pour médicaments, pains à cacheter, pâtes séchées de farine, d'amidon ou de fécule en feuilles et produits simil. (sauf pain</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</si>
  <si>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</si>
  <si>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</si>
  <si>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TOURTEAUX ET AUTRES RÉSIDUS SOLIDES, MÊME BROYÉS OU AGGLOMÉRÉS SOUS FORME DE PELLETS, DE L'EXTRACTION DES GRAISSES OU HUILES DE NAVETTE OU DE COLZA D'UNE TENEUR ÉLEVÉE EN ACIDE ÉRUCIQUE 'FOURNISSANT UNE HUILE FIXE DONT LA TENEUR EN ACIDE ÉRUCIQUE E</t>
  </si>
  <si>
    <t xml:space="preserve">=t("   Tourteaux et autres résidus solides, même broyés ou agglomérés sous forme de pellets, de l'extraction de graisses ou huiles végétales (à l'excl. des tourteaux et autres résidus solides de l'extraction des graisses ou huiles de soja, d'arachide, de </t>
  </si>
  <si>
    <t>=t("   Ecaussines et autres pierres calcaires de taille ou de construction, d'une densité apparente &gt;= 2,5, et albâtre, même dégrossis ou simplement débités, par sciage ou autrement, en blocs ou en plaques de forme carrée ou rectangulaire (à l'excl. des m</t>
  </si>
  <si>
    <t>=t("   Porphyre, basalte et autres pierres de taille ou de construction, même dégrossis ou simplement débités, en blocs ou en plaques de forme carrée ou rectangulaire (sauf granit, grès, pierres présentées sous la forme de granulés, d'éclats ou de poudres</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</si>
  <si>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</si>
  <si>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contenant des provitamines, des vitamines, y.c. les concentrats naturels, ou des dérivés de ces produits utilisés principalement en tant que vitamines, présentés sous forme de doses [y.c. ceux destinés à être administrés par voie percut</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</si>
  <si>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</si>
  <si>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</si>
  <si>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</si>
  <si>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</si>
  <si>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</si>
  <si>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(à l'excl. des pr</t>
  </si>
  <si>
    <t>=t("   PRÉPARATIONS CHIMIQUES POUR USAGES PHOTOGRAPHIQUES, Y.C. LES PRODUITS NON-MÉLANGÉS, SOIT DOSÉS EN VUE D'USAGES PHOTOGRAPHIQUES, SOIT CONDITIONNÉS POUR LA VENTE AU DÉTAIL POUR CES MÊMES USAGES ET PRÊTS À L'EMPLOI (À L'EXCL. DES VERNIS, COLLES, ADHÉS</t>
  </si>
  <si>
    <t>=t("   Plaques, feuilles, bandes, rubans, pellicules et autres formes plates, auto-adhésifs, en matières plastiques, même en rouleaux (à l'excl. des produits en rouleaux d'une largeur &lt;= 20 cm ainsi que des revêtements de sols, de murs ou de plafonds du n</t>
  </si>
  <si>
    <t>=t("   Articles de ménage ou d'économie domestique et articles d'hygiène ou de toilette, en matières plastiques (à l'excl. de la vaisselle et des articles pour usages sanitaires ou hygiéniques tels que baignoires, douches, lavabos, bidets, réservoirs de c</t>
  </si>
  <si>
    <t>=t("   Malles, valises et mallettes, y.c. les mallettes de toilette et mallettes porte-documents, serviettes, cartables et contenants simil. (à l'excl. des articles à surface extérieure en cuir naturel, reconstitué ou verni, en matières plastiques ou en m</t>
  </si>
  <si>
    <t>=t("   Sacs de voyage, sacs isolants pour produits alimentaires et boissons, trousses de toilette, sacs à dos, sacs à provisions, porte-cartes, trousses à outils, sacs pour articles de sport, boîtes pour bijoux, écrins pour orfèvrerie et étuis pour jumell</t>
  </si>
  <si>
    <t>=t("   Sacs de voyage, trousses de toilette, sacs à dos, sacs à provisions, porte-cartes, trousses à outils, sacs pour articles de sport, boîtes pour bijoux, écrins pour orfèvrerie et étuis pour jumelles, appareils photographiques, caméras, instruments de</t>
  </si>
  <si>
    <t>=t("   Bois bruts, traités avec une peinture, de la créosote ou d'autres agents de conservation (à l'excl. des bois simplement dégrossis ou arrondis pour cannes, parapluies, manches d'outils ou simil., des traverses en bois pour voies ferrées ou simil. ai</t>
  </si>
  <si>
    <t>=t("   BOIS BRUTS DE CONIFÈRES, MÊME ÉCORCÉS, DÉSAUBIÉRÉS OU ÉQUARRIS (À L'EXCL. DES BOIS TRAITÉS AVEC UNE PEINTURE, DE LA CRÉOSOTE OU D'AUTRES AGENTS DE CONSERVATION, DES BOIS SIMPL. DÉGROSSIS OU ARRONDIS POUR CANNES, PARAPLUIES, MANCHES D'OUTILS OU SIMI</t>
  </si>
  <si>
    <t>=t("   Bois bruts des bois tropicaux visés à la note 1 de sous-position du présent chapitre, même écorcés, désaubiérés ou équarris (à l'excl. des bois de dark red meranti, light red meranti, meranti bakau, des bois traités avec une peinture, de la créosot</t>
  </si>
  <si>
    <t xml:space="preserve">=t("   BOIS BRUTS, MÊME ÉCORCÉS, DÉSAUBIÉRÉS OU ÉQUARRIS (SAUF BOIS DE CONIFÈRES, BOIS DE CHÊNE 'QUERCUS SPP.' OU DE HÊTRE 'FAGUS SPP.', BOIS TROPICAUX VISÉS À LA NOTE 1 DE SOUS-POSITION DU PRÉSENT CHAPITRE, BOIS SIMPL. DÉGROSSIS OU ARRONDIS POUR CANNES, </t>
  </si>
  <si>
    <t>=t("   Bois feuillards; échalas fendus; pieux et piquets en bois, appointés, non sciés longitudinalement; bois simplement dégrossis ou arrondis, non tournés ni courbés ni autrement travaillés, pour cannes, parapluies, manches d'outils ou simil.; bois en l</t>
  </si>
  <si>
    <t xml:space="preserve">=t("   Bois feuillards; échalas fendus; pieux et piquets en bois, appointés, non sciés longitudinalement; bois dégrossis ou arrondis, non tournés ni courbés ni autrement travaillés, pour cannes, manches d'outils ou simil.; bois en lames, rubans et simil. </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</si>
  <si>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</si>
  <si>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</si>
  <si>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=t("   FEUILLES POUR PLACAGE - Y.C. CELLES OBTENUES PAR TRANCHAGE DE BOIS STRATIFIÉ -,  FEUILLES POUR CONTRE-PLAQUÉS OU POUR AUTRES BOIS STRATIFIÉS SIMIL. ET AUTRES BOIS SCIÉS LONGITUDINALEMENT, TRANCHÉS OU DÉROULÉS, MÊME RABOTÉS, PONCÉS, ASSEMBLÉS BORD À</t>
  </si>
  <si>
    <t xml:space="preserve">=t("   BOIS, Y.C. LES LAMES ET FRISES POUR PARQUETS, NON-ASSEMBLÉES, PROFILÉS "LANGUETÉS, RAINÉS, BOUVETÉS, FEUILLURÉS, CHANFREINÉS, JOINTS EN V, MOULURÉS, ARRONDIS OU SIMIL." TOUT AU LONG D'UNE OU DE PLUSIEURS RIVES, FACES OU BOUTS, MÊME RABOTÉS, PONCÉS </t>
  </si>
  <si>
    <t xml:space="preserve">=t("   PAPIERS, CARTONS, OUATE DE CELLULOSE ET NAPPES DE FIBRES DE CELLULOSE, EN BANDES OU EN ROULEAUX D'UNE LARGEUR &lt;= 36 CM OU EN FEUILLES DE FORME CARRÉE OU RECTANGULAIRE DONT AUCUN CÔTÉ &gt; 36 CM À L'ÉTAT NON-PLIÉ, OU DÉCOUPÉS DE FORME AUTRE QUE CARRÉE </t>
  </si>
  <si>
    <t>=t("   TIMBRES-POSTE, TIMBRES FISCAUX ET ANALOGUES, NON-OBLITÉRÉS, AYANT COURS OU DESTINÉS À AVOIR COURS DANS LE PAYS DANS LEQUEL ILS ONT,  OU AURONT, UNE VALEUR FACIALE RECONNUE; PAPIER TIMBRÉ; BILLETS DE BANQUE; CHÈQUES; TITRES D'ACTIONS OU D'OBLIGATION</t>
  </si>
  <si>
    <t xml:space="preserve">=t("   Fils simples de coton, en fibres non peignées, contenant &gt;= 85% en poids de coton, titrant &gt;= 232,56 décitex mais &lt; 714,29 décitex [&gt; 14 numéros métriques mais &lt;= 43 numéros métriques] (sauf les fils à coudre et les fils conditionnés pour la vente </t>
  </si>
  <si>
    <t>=t("   PANTALONS, Y.C. KNICKERS ET PANTALONS SIMIL., ET CULOTTES, SALOPETTES À BRETELLES ET SHORTS, EN BONNETERIE, DE MATIÈRES TEXTILES, POUR FEMMES OU FILLETTES (SAUF DE LAINE, POILS FINS, COTON, FIBRES SYNTHÉTIQUES ET SAUF SLIPS ET MAILLOTS, CULOTTES ET</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</si>
  <si>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</si>
  <si>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</si>
  <si>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</si>
  <si>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à semelles extérieures en caoutchouc ou en matière plastique et à dessus en matières textiles (sauf chaussures de sport, y.c. chaussures dites de tennis, de basket-ball, de gymnastique, d'entraînement et chaussures simil. ainsi que chaus</t>
  </si>
  <si>
    <t>=t("   Chapeaux et autres coiffures en bonneterie ou confectionnés à l'aide de dentelles, feutre ou autres produits textiles, en pièces -mais non en bandes-, même garnis (sauf résilles, filets à cheveux et coiffures pour animaux ou ayant le caractère de j</t>
  </si>
  <si>
    <t>=t("   Pierres de taille ou de construction, naturelles, autres que les pierres calcaires, le granit et l'ardoise et ouvrages en ces pierres, simplement taillées ou sciées et à surface plane ou unie (sauf à surface entièrement ou partiellement rabotée, po</t>
  </si>
  <si>
    <t>=t("   Vaisselle, autres articles de ménage ou d'économie domestique et articles d'hygiène ou de toilette en céramique, autres que la porcelaine (sauf baignoires, bidets, éviers et autres appareils fixes simil.; statuettes et autres objets d'ornementation</t>
  </si>
  <si>
    <t>=t("   Bonbonnes, bouteilles, flacons, bocaux, pots, emballages tubulaires et autres récipients en verre pour le transport ou l'emballage commercial et bocaux à conserves en verre (sauf ampoules, bouteilles isolantes et récipients dont l'isolation est ass</t>
  </si>
  <si>
    <t>=t("   Pierres de bijouterie et simil., synthétiques ou reconstituées, travaillées, même assorties, mais non enfilées, ni montées, ni serties et pierres de bijouterie et simil., synthétiques ou reconstituées, travaillées mais non assorties et enfilées tem</t>
  </si>
  <si>
    <t>=t("   DÉCHETS ET DÉBRIS DE FER OU D'ACIER [FERRAILLES] (SAUF DÉCHETS ET DÉBRIS RADIOACTIFS ET DE PILES, DE BATTERIES DE PILES ET D'ACCUMULATEURS ÉLECTRIQUES; SCORIES, LAITIERS ET AUTRES DÉCHETS DE LA FABRICATION DU FER OU DE L'ACIER; MORCEAUX PROVENANT D</t>
  </si>
  <si>
    <t>=t("   FIL MACHINE EN FER OU ACIERS NON-ALLIÉS, ENROULÉ EN COURONNES IRRÉGULIÈRES (AUTRE QUE DE SECTION CIRCULAIRE DE DIAMÈTRE &lt; 14 MM, AUTRE QUE FIL MACHINE EN ACIERS DE DÉCOLLETAGE, OU AVEC INDENTATIONS, BOURRELETS, CREUX OU RELIEFS OBTENUS LORS DU LAMI</t>
  </si>
  <si>
    <t>=t("   BARRES EN FER OU EN ACIERS NON-ALLIÉS, SIMPL. LAMINÉES OU FILÉES À CHAUD (À L'EXCL. DE SECTION TRANSVERSALE RECTANGULAIRE, DES BARRES COMPORTANT DES INDENTATIONS, BOURRELETS, CREUX OU RELIEFS OBTENUS AU COURS DU LAMINAGE OU AYANT SUBI UNE TORSION A</t>
  </si>
  <si>
    <t>=t("   Constructions et parties de constructions, en fonte, fer ou acier, n.d.a. (à l'excl. des ponts et éléments de ponts, tours et pylônes, portes et fenêtres et leurs cadres, chambranles et seuils, et à l'excl. du matériel d'échafaudage, de coffrage et</t>
  </si>
  <si>
    <t>=t("   Réservoirs, foudres, cuves et récipients simil. en fonte, fer ou acier, pour toutes matières (à l'excl. des gaz comprimés ou liquéfiés), d'une contenance &gt; 300 l, sans dispositifs mécaniques ou thermiques, même avec revêtement intérieur ou calorifu</t>
  </si>
  <si>
    <t>=t("   Appareils de cuisson tels que foyers de cuisson, barbecues, grilloirs, réchauds et cuisinières, ainsi que chauffe-plats, à usage domestique, en fonte, fer ou acier, à combustibles gazeux ou à gaz et autres combustibles (à l'excl. des appareils dest</t>
  </si>
  <si>
    <t>=t("   Appareils de cuisson tels que foyers de cuisson, barbecues, grilloirs, réchauds et cuisinières, ainsi que chauffe-plats, à usage domestique, en fonte, fer ou acier, à combustibles liquides (à l'excl. des appareils destinés à la cuisine à grande éch</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</si>
  <si>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</si>
  <si>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</si>
  <si>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</si>
  <si>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Déchets et débris d'aluminium (sauf scories, mâchefer, etc., produits par la sidérurgie et contenant de l'aluminium récupérable sous forme de silicates, les déchets lingotés et autres formes brutes simil. en déchets ou débris d'aluminium fondus, et</t>
  </si>
  <si>
    <t>=t("   Cuillers, fourchettes, louches, écumoires, pelles à tartes, couteaux spéciaux à poisson ou à beurre, pinces à sucre et articles simil., en métaux communs, ni argentés, ni dorés, ni platinés (sauf en assortiments et sauf cisailles à volaille et à ho</t>
  </si>
  <si>
    <t>=t("   Baguettes enrobées et fils fourrés en métaux communs, pour brasage ou soudage à la flamme (à l'excl. des fils et baguettes à âme décapante chez lesquels le métal de brasage, décapants et fondants non compris, contient &gt;= 2% en poids d'un métal préc</t>
  </si>
  <si>
    <t xml:space="preserve">=t("   Fils, baguettes, tubes, plaques, électrodes et articles simil. en métaux communs ou en carbures métalliques, enrobés ou fourrés de décapants ou de fondants, pour brasage, soudage ou dépôt de métal ou de carbures métalliques, n.d.a., ainsi que fils </t>
  </si>
  <si>
    <t>=t("   MOTEURS À PISTON ALTERNATIF À ALLUMAGE PAR ÉTINCELLES "MOTEURS À EXPLOSION", DES TYPES UTILISÉS POUR LA PROPULSION DES VÉHICULES DU CHAPITRE 87, CYLINDRÉE &gt; 1000 CM³"")</t>
  </si>
  <si>
    <t>=t("   MOTEURS À PISTON, À ALLUMAGE PAR COMPRESSION "MOTEURS DIESEL OU SEMI-DIESEL", DES TYPES UTILISÉS POUR LA PROPULSION DES VÉHICULES DU CHAPITRE 87"")</t>
  </si>
  <si>
    <t>=t("   MOTEURS À PISTON, À ALLUMAGE PAR COMPRESSION "MOTEURS DIESEL OU SEMI-DIESEL" (AUTRES QUE MOTEURS DE PROPULSION POUR BATEAUX ET SAUF MOTEURS DES TYPES UTILISÉS POUR LA PROPULSION DES VÉHICULES DU CHAPITRE 87)")</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</si>
  <si>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</si>
  <si>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MACHINES ET APPAREILS POUR LE CONDITIONNEMENT DE L'AIR, FORMANT UN SEUL CORPS OU DU TYPE "SPLIT-SYSTEM" [SYSTÈMES À ÉLÉMENTS SÉPARÉS], DU TYPE MURAL OU POUR FENÊTRES"")</t>
  </si>
  <si>
    <t>=t("   Machines et appareils de minoterie ou pour traitement des céréales ou légumes secs (autres que les machines et appareils du type agricole, les installations de traitement thermique, essoreuses centrifuges, filtres à air ainsi que machines et appare</t>
  </si>
  <si>
    <t>=t("   Machines et appareils pour la fabrication industrielle des produits de boulangerie, pâtisserie ou biscuiterie ou pour la fabrication industrielle des pâtes alimentaires (sauf fours, appareils de séchage des pâtes alimentaires et machines à rouler l</t>
  </si>
  <si>
    <t>=t("   Machines et appareils servant à l'impression au moyen de caractères d'imprimerie, clichés, planches, cylindres et autres organes imprimants du n° 8442 (à l'excl. des duplicateurs hectographiques ou à stencils, des machines à imprimer les adresses e</t>
  </si>
  <si>
    <t>=t("   Machines à ébarber, meuler, polir ou à faire d'autres opérations de finissage, pour le travail des métaux (autres que les machines à rectifier dont le positionnement dans un des axes peut être réglé à au moins 0,01 mm près, autres qu'à commande num</t>
  </si>
  <si>
    <t xml:space="preserve">=t("   Machines-outils pour le travail des métaux, des carbures métalliques frittés ou des cermets, sans enlèvement de matière (sauf machines à forger, à rouler, à cintrer, dresser ou planer; machines à cisailler, à poinçonner ou à gruger; presses; bancs </t>
  </si>
  <si>
    <t xml:space="preserve">=t("   Machines-outils pour le travail du bois, des matières plastiques dures, etc. (sauf outillage à main, machines pouvant effectuer différents types d'opérations d'usinage sans changement d'outils entre les opérations; machines à scier, à dégauchir ou </t>
  </si>
  <si>
    <t>=t("   Machines à imprimer les adresses ou à estamper les plaques d'adresses (sauf machines à écrire automatiques, machines automatiques pour le traitement de l'information et leurs unités et sauf imprimantes à laser, imprimantes thermiques ou imprimantes</t>
  </si>
  <si>
    <t>=t("   Machines à agglomérer, former ou mouler les combustibles minéraux solides, les pâtes céramiques, le ciment, le plâtre ou autres matières minérales en poudre ou pâte; machines à former les moules de fonderie en sable (sauf pour mouler ou couler le v</t>
  </si>
  <si>
    <t>=t("   Groupes électrogènes à moteur à piston à allumage par compression "moteurs diesel ou semi-diesel", puissance &lt;= 75 kVA")</t>
  </si>
  <si>
    <t>=t("   GROUPES ÉLECTROGÈNES À MOTEUR À PISTON À ALLUMAGE PAR COMPRESSION "MOTEUR DIESEL OU SEMI-DIESEL", PUISSANCE &gt; 375 KVA")</t>
  </si>
  <si>
    <t>=t("   GROUPES ÉLECTROGÈNES À MOTEUR À PISTON À ALLUMAGE PAR ÉTINCELLES "MOTEUR À EXPLOSION"")</t>
  </si>
  <si>
    <t xml:space="preserve">=t("   Parties d'appareils électriques pour la téléphonie ou la télégraphie par fil, y.c. les postes téléphoniques d'usagers par fil à combinés sans fil et les appareils pour la télécommunication par courant porteur ou pour la télécommunication numérique </t>
  </si>
  <si>
    <t>=t("   Parties reconnaissables comme étant exclusivement ou principalement destinées aux appareils du n° 8535, 8536 ou 8537, n.d.a. (à l'excl. des tableaux, panneaux, consoles, pupitres, armoires et autres supports pour articles du n° 8537, dépourvus de l</t>
  </si>
  <si>
    <t>=t("   VÉHICULES POUR LE TRANSPORT DE &gt;= 10 PERSONNES, CHAUFFEUR INCLUS, AUTRES QU'À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</si>
  <si>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</si>
  <si>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</si>
  <si>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</si>
  <si>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&gt; 1.5</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</si>
  <si>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</si>
  <si>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</si>
  <si>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</si>
  <si>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</si>
  <si>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</si>
  <si>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 xml:space="preserve">=t("   CHÂSSIS DE TRACTEURS, VÉHICULES POUR LE TRANSPORT DE &gt;= 10 PERSONNES, CHAUFFEUR INCLUS, VOITURES DE TOURISME, VÉHICULES POUR LE TRANSPORT DE MARCHANDISES ET VÉHICULES À USAGES SPÉCIAUX DU N° 8701 À 8705, ÉQUIPÉS DE LEUR MOTEUR (SAUF AVEC MOTEUR ET </t>
  </si>
  <si>
    <t>=t("   Instruments et appareils de géodésie, de topographie, d'arpentage, de nivellement, d'hydrographie, de météorologie, d'hydrologie, de géophysique ou d'océanographie (à l'excl. des boussoles, des télémètres, des théodolites, des tachéomètres, des niv</t>
  </si>
  <si>
    <t>=t("   Tables spéciales pour jeux de casino, jeux de quilles automatiques [p.ex. bowlings] et autres jeux de société, y.c. les jeux à moteur ou à mouvement (sauf jeux fonctionnant par l'introduction d'une pièce de monnaie, d'un billet de banque, d'un jeto</t>
  </si>
  <si>
    <t>Source: Copyright © 1958 - 2003 European Community, Eurostat. All Rights Reserved. Comext: k0000031.txt  Extracted: 07/10/2014</t>
  </si>
  <si>
    <t>xcl. des dessins du n° 4906 et des articles manufacturés décorés à la main)")</t>
  </si>
  <si>
    <t>ion d'une pièce de monnaie, d'un billet de banque, d'un jeton ou d'")</t>
  </si>
  <si>
    <t>Table generation of Extraction from Plan "k0000029,mtx"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</si>
</sst>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5"/>
  <sheetViews>
    <sheetView tabSelected="1" topLeftCell="A15" workbookViewId="0">
      <selection activeCell="C15" sqref="C1:D1048576"/>
    </sheetView>
  </sheetViews>
  <sheetFormatPr baseColWidth="10" defaultRowHeight="15" x14ac:dyDescent="0.25"/>
  <sheetData>
    <row r="1" spans="1:4" x14ac:dyDescent="0.25">
      <c r="C1" t="s">
        <v>112</v>
      </c>
    </row>
    <row r="3" spans="1:4" x14ac:dyDescent="0.25">
      <c r="A3" t="s">
        <v>0</v>
      </c>
      <c r="B3" t="str">
        <f>T("07/10/2014")</f>
        <v>07/10/2014</v>
      </c>
    </row>
    <row r="4" spans="1:4" x14ac:dyDescent="0.25">
      <c r="A4" t="s">
        <v>1</v>
      </c>
      <c r="B4" t="str">
        <f>T("00")</f>
        <v>00</v>
      </c>
    </row>
    <row r="5" spans="1:4" x14ac:dyDescent="0.25">
      <c r="A5" t="s">
        <v>2</v>
      </c>
      <c r="B5" t="str">
        <f>T("2011")</f>
        <v>2011</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1639856852</v>
      </c>
      <c r="D17">
        <v>2172812</v>
      </c>
    </row>
    <row r="18" spans="1:4" x14ac:dyDescent="0.25">
      <c r="A18" t="str">
        <f>T("   080131")</f>
        <v xml:space="preserve">   080131</v>
      </c>
      <c r="B18" t="str">
        <f>T("   Noix de cajou, fraîches ou sèches, en coques")</f>
        <v xml:space="preserve">   Noix de cajou, fraîches ou sèches, en coques</v>
      </c>
      <c r="C18">
        <v>744172155</v>
      </c>
      <c r="D18">
        <v>1638419</v>
      </c>
    </row>
    <row r="19" spans="1:4" x14ac:dyDescent="0.25">
      <c r="A19" t="str">
        <f>T("   392210")</f>
        <v xml:space="preserve">   392210</v>
      </c>
      <c r="B19" t="str">
        <f>T("   Baignoires, douches, éviers et lavabos, en matières plastiques")</f>
        <v xml:space="preserve">   Baignoires, douches, éviers et lavabos, en matières plastiques</v>
      </c>
      <c r="C19">
        <v>33550000</v>
      </c>
      <c r="D19">
        <v>12200</v>
      </c>
    </row>
    <row r="20" spans="1:4" x14ac:dyDescent="0.25">
      <c r="A20" t="str">
        <f>T("   440729")</f>
        <v xml:space="preserve">   440729</v>
      </c>
      <c r="B20" t="s">
        <v>47</v>
      </c>
      <c r="C20">
        <v>487000</v>
      </c>
      <c r="D20">
        <v>26000</v>
      </c>
    </row>
    <row r="21" spans="1:4" x14ac:dyDescent="0.25">
      <c r="A21" t="str">
        <f>T("   720430")</f>
        <v xml:space="preserve">   720430</v>
      </c>
      <c r="B2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1">
        <v>500000</v>
      </c>
      <c r="D21">
        <v>10000</v>
      </c>
    </row>
    <row r="22" spans="1:4" x14ac:dyDescent="0.25">
      <c r="A22" t="str">
        <f>T("   720449")</f>
        <v xml:space="preserve">   720449</v>
      </c>
      <c r="B22" t="s">
        <v>64</v>
      </c>
      <c r="C22">
        <v>10950000</v>
      </c>
      <c r="D22">
        <v>219000</v>
      </c>
    </row>
    <row r="23" spans="1:4" x14ac:dyDescent="0.25">
      <c r="A23" t="str">
        <f>T("   820790")</f>
        <v xml:space="preserve">   820790</v>
      </c>
      <c r="B23" t="str">
        <f>T("   Outils interchangeables pour outillage à main, mécanique ou non, ou pour machines-outils, n.d.a.")</f>
        <v xml:space="preserve">   Outils interchangeables pour outillage à main, mécanique ou non, ou pour machines-outils, n.d.a.</v>
      </c>
      <c r="C23">
        <v>1524451</v>
      </c>
      <c r="D23">
        <v>768</v>
      </c>
    </row>
    <row r="24" spans="1:4" x14ac:dyDescent="0.25">
      <c r="A24" t="str">
        <f>T("   842951")</f>
        <v xml:space="preserve">   842951</v>
      </c>
      <c r="B24" t="str">
        <f>T("   Chargeuses et chargeuses-pelleteuses, à chargement frontal, autopropulsées")</f>
        <v xml:space="preserve">   Chargeuses et chargeuses-pelleteuses, à chargement frontal, autopropulsées</v>
      </c>
      <c r="C24">
        <v>60000000</v>
      </c>
      <c r="D24">
        <v>47000</v>
      </c>
    </row>
    <row r="25" spans="1:4" x14ac:dyDescent="0.25">
      <c r="A25" t="str">
        <f>T("   850680")</f>
        <v xml:space="preserve">   850680</v>
      </c>
      <c r="B25"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5">
        <v>17075111</v>
      </c>
      <c r="D25">
        <v>11450</v>
      </c>
    </row>
    <row r="26" spans="1:4" x14ac:dyDescent="0.25">
      <c r="A26" t="str">
        <f>T("   854420")</f>
        <v xml:space="preserve">   854420</v>
      </c>
      <c r="B26" t="str">
        <f>T("   Câbles coaxiaux et autres conducteurs électriques coaxiaux, isolés")</f>
        <v xml:space="preserve">   Câbles coaxiaux et autres conducteurs électriques coaxiaux, isolés</v>
      </c>
      <c r="C26">
        <v>750000</v>
      </c>
      <c r="D26">
        <v>500</v>
      </c>
    </row>
    <row r="27" spans="1:4" x14ac:dyDescent="0.25">
      <c r="A27" t="str">
        <f>T("   870421")</f>
        <v xml:space="preserve">   870421</v>
      </c>
      <c r="B27" t="s">
        <v>102</v>
      </c>
      <c r="C27">
        <v>745201135</v>
      </c>
      <c r="D27">
        <v>175600</v>
      </c>
    </row>
    <row r="28" spans="1:4" x14ac:dyDescent="0.25">
      <c r="A28" t="str">
        <f>T("   880190")</f>
        <v xml:space="preserve">   880190</v>
      </c>
      <c r="B28" t="str">
        <f>T("   Ballons et dirigeables et autres véhicules aériens (non conçus pour la propulsion à moteur) (sauf planeurs et ailes volantes, cerf-volants pour enfants et ballonnets pour enfants)")</f>
        <v xml:space="preserve">   Ballons et dirigeables et autres véhicules aériens (non conçus pour la propulsion à moteur) (sauf planeurs et ailes volantes, cerf-volants pour enfants et ballonnets pour enfants)</v>
      </c>
      <c r="C28">
        <v>12922000</v>
      </c>
      <c r="D28">
        <v>28500</v>
      </c>
    </row>
    <row r="29" spans="1:4" x14ac:dyDescent="0.25">
      <c r="A29" t="str">
        <f>T("   961620")</f>
        <v xml:space="preserve">   961620</v>
      </c>
      <c r="B29" t="str">
        <f>T("   Houppes et houppettes à poudre ou pour l'application d'autres cosmétiques ou produits de toilette")</f>
        <v xml:space="preserve">   Houppes et houppettes à poudre ou pour l'application d'autres cosmétiques ou produits de toilette</v>
      </c>
      <c r="C29">
        <v>12725000</v>
      </c>
      <c r="D29">
        <v>3375</v>
      </c>
    </row>
    <row r="30" spans="1:4" x14ac:dyDescent="0.25">
      <c r="A30" t="str">
        <f>T("AO")</f>
        <v>AO</v>
      </c>
      <c r="B30" t="str">
        <f>T("Angola")</f>
        <v>Angola</v>
      </c>
    </row>
    <row r="31" spans="1:4" x14ac:dyDescent="0.25">
      <c r="A31" t="str">
        <f>T("   ZZ_Total_Produit_SH6")</f>
        <v xml:space="preserve">   ZZ_Total_Produit_SH6</v>
      </c>
      <c r="B31" t="str">
        <f>T("   ZZ_Total_Produit_SH6")</f>
        <v xml:space="preserve">   ZZ_Total_Produit_SH6</v>
      </c>
      <c r="C31">
        <v>61243502</v>
      </c>
      <c r="D31">
        <v>2600</v>
      </c>
    </row>
    <row r="32" spans="1:4" x14ac:dyDescent="0.25">
      <c r="A32" t="str">
        <f>T("   870323")</f>
        <v xml:space="preserve">   870323</v>
      </c>
      <c r="B32" t="s">
        <v>98</v>
      </c>
      <c r="C32">
        <v>61243502</v>
      </c>
      <c r="D32">
        <v>2600</v>
      </c>
    </row>
    <row r="33" spans="1:4" x14ac:dyDescent="0.25">
      <c r="A33" t="str">
        <f>T("AU")</f>
        <v>AU</v>
      </c>
      <c r="B33" t="str">
        <f>T("Australie")</f>
        <v>Australie</v>
      </c>
    </row>
    <row r="34" spans="1:4" x14ac:dyDescent="0.25">
      <c r="A34" t="str">
        <f>T("   ZZ_Total_Produit_SH6")</f>
        <v xml:space="preserve">   ZZ_Total_Produit_SH6</v>
      </c>
      <c r="B34" t="str">
        <f>T("   ZZ_Total_Produit_SH6")</f>
        <v xml:space="preserve">   ZZ_Total_Produit_SH6</v>
      </c>
      <c r="C34">
        <v>300000000</v>
      </c>
      <c r="D34">
        <v>1500000</v>
      </c>
    </row>
    <row r="35" spans="1:4" x14ac:dyDescent="0.25">
      <c r="A35" t="str">
        <f>T("   080131")</f>
        <v xml:space="preserve">   080131</v>
      </c>
      <c r="B35" t="str">
        <f>T("   Noix de cajou, fraîches ou sèches, en coques")</f>
        <v xml:space="preserve">   Noix de cajou, fraîches ou sèches, en coques</v>
      </c>
      <c r="C35">
        <v>300000000</v>
      </c>
      <c r="D35">
        <v>1500000</v>
      </c>
    </row>
    <row r="36" spans="1:4" x14ac:dyDescent="0.25">
      <c r="A36" t="str">
        <f>T("BD")</f>
        <v>BD</v>
      </c>
      <c r="B36" t="str">
        <f>T("Bangladesh")</f>
        <v>Bangladesh</v>
      </c>
    </row>
    <row r="37" spans="1:4" x14ac:dyDescent="0.25">
      <c r="A37" t="str">
        <f>T("   ZZ_Total_Produit_SH6")</f>
        <v xml:space="preserve">   ZZ_Total_Produit_SH6</v>
      </c>
      <c r="B37" t="str">
        <f>T("   ZZ_Total_Produit_SH6")</f>
        <v xml:space="preserve">   ZZ_Total_Produit_SH6</v>
      </c>
      <c r="C37">
        <v>93800507</v>
      </c>
      <c r="D37">
        <v>326698.8</v>
      </c>
    </row>
    <row r="38" spans="1:4" x14ac:dyDescent="0.25">
      <c r="A38" t="str">
        <f>T("   520100")</f>
        <v xml:space="preserve">   520100</v>
      </c>
      <c r="B38" t="str">
        <f>T("   COTON, NON-CARDÉ NI PEIGNÉ")</f>
        <v xml:space="preserve">   COTON, NON-CARDÉ NI PEIGNÉ</v>
      </c>
      <c r="C38">
        <v>74863947</v>
      </c>
      <c r="D38">
        <v>97227</v>
      </c>
    </row>
    <row r="39" spans="1:4" x14ac:dyDescent="0.25">
      <c r="A39" t="str">
        <f>T("   630510")</f>
        <v xml:space="preserve">   630510</v>
      </c>
      <c r="B39" t="str">
        <f>T("   Sacs et sachets d'emballage de jute ou d'autres fibres textiles libériennes du n° 5303")</f>
        <v xml:space="preserve">   Sacs et sachets d'emballage de jute ou d'autres fibres textiles libériennes du n° 5303</v>
      </c>
      <c r="C39">
        <v>8436560</v>
      </c>
      <c r="D39">
        <v>19471.8</v>
      </c>
    </row>
    <row r="40" spans="1:4" x14ac:dyDescent="0.25">
      <c r="A40" t="str">
        <f>T("   720449")</f>
        <v xml:space="preserve">   720449</v>
      </c>
      <c r="B40" t="s">
        <v>64</v>
      </c>
      <c r="C40">
        <v>10500000</v>
      </c>
      <c r="D40">
        <v>210000</v>
      </c>
    </row>
    <row r="41" spans="1:4" x14ac:dyDescent="0.25">
      <c r="A41" t="str">
        <f>T("BE")</f>
        <v>BE</v>
      </c>
      <c r="B41" t="str">
        <f>T("Belgique")</f>
        <v>Belgique</v>
      </c>
    </row>
    <row r="42" spans="1:4" x14ac:dyDescent="0.25">
      <c r="A42" t="str">
        <f>T("   ZZ_Total_Produit_SH6")</f>
        <v xml:space="preserve">   ZZ_Total_Produit_SH6</v>
      </c>
      <c r="B42" t="str">
        <f>T("   ZZ_Total_Produit_SH6")</f>
        <v xml:space="preserve">   ZZ_Total_Produit_SH6</v>
      </c>
      <c r="C42">
        <v>214394963</v>
      </c>
      <c r="D42">
        <v>139954</v>
      </c>
    </row>
    <row r="43" spans="1:4" x14ac:dyDescent="0.25">
      <c r="A43" t="str">
        <f>T("   030623")</f>
        <v xml:space="preserve">   030623</v>
      </c>
      <c r="B43"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43">
        <v>1250000</v>
      </c>
      <c r="D43">
        <v>1000</v>
      </c>
    </row>
    <row r="44" spans="1:4" x14ac:dyDescent="0.25">
      <c r="A44" t="str">
        <f>T("   080430")</f>
        <v xml:space="preserve">   080430</v>
      </c>
      <c r="B44" t="str">
        <f>T("   Ananas, frais ou secs")</f>
        <v xml:space="preserve">   Ananas, frais ou secs</v>
      </c>
      <c r="C44">
        <v>7279516</v>
      </c>
      <c r="D44">
        <v>90</v>
      </c>
    </row>
    <row r="45" spans="1:4" x14ac:dyDescent="0.25">
      <c r="A45" t="str">
        <f>T("   120710")</f>
        <v xml:space="preserve">   120710</v>
      </c>
      <c r="B45" t="str">
        <f>T("   NOIX ET AMANDES DE PALMISTES")</f>
        <v xml:space="preserve">   NOIX ET AMANDES DE PALMISTES</v>
      </c>
      <c r="C45">
        <v>12397588</v>
      </c>
      <c r="D45">
        <v>112</v>
      </c>
    </row>
    <row r="46" spans="1:4" x14ac:dyDescent="0.25">
      <c r="A46" t="str">
        <f>T("   300490")</f>
        <v xml:space="preserve">   300490</v>
      </c>
      <c r="B46" t="s">
        <v>29</v>
      </c>
      <c r="C46">
        <v>40500000</v>
      </c>
      <c r="D46">
        <v>2400</v>
      </c>
    </row>
    <row r="47" spans="1:4" x14ac:dyDescent="0.25">
      <c r="A47" t="str">
        <f>T("   620590")</f>
        <v xml:space="preserve">   620590</v>
      </c>
      <c r="B4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7">
        <v>3600000</v>
      </c>
      <c r="D47">
        <v>5000</v>
      </c>
    </row>
    <row r="48" spans="1:4" x14ac:dyDescent="0.25">
      <c r="A48" t="str">
        <f>T("   720449")</f>
        <v xml:space="preserve">   720449</v>
      </c>
      <c r="B48" t="s">
        <v>64</v>
      </c>
      <c r="C48">
        <v>3000000</v>
      </c>
      <c r="D48">
        <v>60000</v>
      </c>
    </row>
    <row r="49" spans="1:4" x14ac:dyDescent="0.25">
      <c r="A49" t="str">
        <f>T("   732394")</f>
        <v xml:space="preserve">   732394</v>
      </c>
      <c r="B49" t="s">
        <v>72</v>
      </c>
      <c r="C49">
        <v>3050000</v>
      </c>
      <c r="D49">
        <v>5400</v>
      </c>
    </row>
    <row r="50" spans="1:4" x14ac:dyDescent="0.25">
      <c r="A50" t="str">
        <f>T("   732690")</f>
        <v xml:space="preserve">   732690</v>
      </c>
      <c r="B5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50">
        <v>290000</v>
      </c>
      <c r="D50">
        <v>645</v>
      </c>
    </row>
    <row r="51" spans="1:4" x14ac:dyDescent="0.25">
      <c r="A51" t="str">
        <f>T("   840890")</f>
        <v xml:space="preserve">   840890</v>
      </c>
      <c r="B51" t="s">
        <v>80</v>
      </c>
      <c r="C51">
        <v>86478315</v>
      </c>
      <c r="D51">
        <v>7707</v>
      </c>
    </row>
    <row r="52" spans="1:4" x14ac:dyDescent="0.25">
      <c r="A52" t="str">
        <f>T("   842919")</f>
        <v xml:space="preserve">   842919</v>
      </c>
      <c r="B52" t="str">
        <f>T("   Bouteurs 'bulldozers' et bouteurs biais 'angledozers', sur roues")</f>
        <v xml:space="preserve">   Bouteurs 'bulldozers' et bouteurs biais 'angledozers', sur roues</v>
      </c>
      <c r="C52">
        <v>4416607</v>
      </c>
      <c r="D52">
        <v>18500</v>
      </c>
    </row>
    <row r="53" spans="1:4" x14ac:dyDescent="0.25">
      <c r="A53" t="str">
        <f>T("   842940")</f>
        <v xml:space="preserve">   842940</v>
      </c>
      <c r="B53" t="str">
        <f>T("   Rouleaux compresseurs et autres compacteuses, autopropulsés")</f>
        <v xml:space="preserve">   Rouleaux compresseurs et autres compacteuses, autopropulsés</v>
      </c>
      <c r="C53">
        <v>26454381</v>
      </c>
      <c r="D53">
        <v>18600</v>
      </c>
    </row>
    <row r="54" spans="1:4" x14ac:dyDescent="0.25">
      <c r="A54" t="str">
        <f>T("   843149")</f>
        <v xml:space="preserve">   843149</v>
      </c>
      <c r="B54" t="str">
        <f>T("   Parties de machines et appareils du n° 8426, 8429 ou 8430, n.d.a.")</f>
        <v xml:space="preserve">   Parties de machines et appareils du n° 8426, 8429 ou 8430, n.d.a.</v>
      </c>
      <c r="C54">
        <v>11925840</v>
      </c>
      <c r="D54">
        <v>1015</v>
      </c>
    </row>
    <row r="55" spans="1:4" x14ac:dyDescent="0.25">
      <c r="A55" t="str">
        <f>T("   870322")</f>
        <v xml:space="preserve">   870322</v>
      </c>
      <c r="B55" t="s">
        <v>97</v>
      </c>
      <c r="C55">
        <v>1821850</v>
      </c>
      <c r="D55">
        <v>2640</v>
      </c>
    </row>
    <row r="56" spans="1:4" x14ac:dyDescent="0.25">
      <c r="A56" t="str">
        <f>T("   870323")</f>
        <v xml:space="preserve">   870323</v>
      </c>
      <c r="B56" t="s">
        <v>98</v>
      </c>
      <c r="C56">
        <v>2930866</v>
      </c>
      <c r="D56">
        <v>1445</v>
      </c>
    </row>
    <row r="57" spans="1:4" x14ac:dyDescent="0.25">
      <c r="A57" t="str">
        <f>T("   940350")</f>
        <v xml:space="preserve">   940350</v>
      </c>
      <c r="B57" t="str">
        <f>T("   Meubles pour chambres à coucher, en bois (sauf sièges)")</f>
        <v xml:space="preserve">   Meubles pour chambres à coucher, en bois (sauf sièges)</v>
      </c>
      <c r="C57">
        <v>6850000</v>
      </c>
      <c r="D57">
        <v>12400</v>
      </c>
    </row>
    <row r="58" spans="1:4" x14ac:dyDescent="0.25">
      <c r="A58" t="str">
        <f>T("   940360")</f>
        <v xml:space="preserve">   940360</v>
      </c>
      <c r="B58" t="str">
        <f>T("   Meubles en bois (autres que pour bureaux, cuisines ou chambres à coucher et autres que sièges)")</f>
        <v xml:space="preserve">   Meubles en bois (autres que pour bureaux, cuisines ou chambres à coucher et autres que sièges)</v>
      </c>
      <c r="C58">
        <v>2150000</v>
      </c>
      <c r="D58">
        <v>3000</v>
      </c>
    </row>
    <row r="59" spans="1:4" x14ac:dyDescent="0.25">
      <c r="A59" t="str">
        <f>T("BF")</f>
        <v>BF</v>
      </c>
      <c r="B59" t="str">
        <f>T("Burkina Faso")</f>
        <v>Burkina Faso</v>
      </c>
    </row>
    <row r="60" spans="1:4" x14ac:dyDescent="0.25">
      <c r="A60" t="str">
        <f>T("   ZZ_Total_Produit_SH6")</f>
        <v xml:space="preserve">   ZZ_Total_Produit_SH6</v>
      </c>
      <c r="B60" t="str">
        <f>T("   ZZ_Total_Produit_SH6")</f>
        <v xml:space="preserve">   ZZ_Total_Produit_SH6</v>
      </c>
      <c r="C60">
        <v>1964269870</v>
      </c>
      <c r="D60">
        <v>1674784.3</v>
      </c>
    </row>
    <row r="61" spans="1:4" x14ac:dyDescent="0.25">
      <c r="A61" t="str">
        <f>T("   110423")</f>
        <v xml:space="preserve">   110423</v>
      </c>
      <c r="B61" t="str">
        <f>T("   Grains de maïs, mondés, perlés, tranchés, concassés ou autrement travaillés (à l'excl. de la farine de maïs)")</f>
        <v xml:space="preserve">   Grains de maïs, mondés, perlés, tranchés, concassés ou autrement travaillés (à l'excl. de la farine de maïs)</v>
      </c>
      <c r="C61">
        <v>19945000</v>
      </c>
      <c r="D61">
        <v>70000</v>
      </c>
    </row>
    <row r="62" spans="1:4" x14ac:dyDescent="0.25">
      <c r="A62" t="str">
        <f>T("   200939")</f>
        <v xml:space="preserve">   200939</v>
      </c>
      <c r="B62"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62">
        <v>2300000</v>
      </c>
      <c r="D62">
        <v>5600</v>
      </c>
    </row>
    <row r="63" spans="1:4" x14ac:dyDescent="0.25">
      <c r="A63" t="str">
        <f>T("   200941")</f>
        <v xml:space="preserve">   200941</v>
      </c>
      <c r="B63" t="str">
        <f>T("   JUS D'ANANAS, NON-FERMENTÉS, SANS ADDITION D'ALCOOL, AVEC OU SANS ADDITION DE SUCRE OU D'AUTRES ÉDULCORANTS, D'UNE VALEUR BRIX &lt;= 20 À 20°C")</f>
        <v xml:space="preserve">   JUS D'ANANAS, NON-FERMENTÉS, SANS ADDITION D'ALCOOL, AVEC OU SANS ADDITION DE SUCRE OU D'AUTRES ÉDULCORANTS, D'UNE VALEUR BRIX &lt;= 20 À 20°C</v>
      </c>
      <c r="C63">
        <v>1200000</v>
      </c>
      <c r="D63">
        <v>11000</v>
      </c>
    </row>
    <row r="64" spans="1:4" x14ac:dyDescent="0.25">
      <c r="A64" t="str">
        <f>T("   200949")</f>
        <v xml:space="preserve">   200949</v>
      </c>
      <c r="B6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64">
        <v>20776335</v>
      </c>
      <c r="D64">
        <v>171516</v>
      </c>
    </row>
    <row r="65" spans="1:4" x14ac:dyDescent="0.25">
      <c r="A65" t="str">
        <f>T("   230230")</f>
        <v xml:space="preserve">   230230</v>
      </c>
      <c r="B65"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65">
        <v>1200000</v>
      </c>
      <c r="D65">
        <v>20000</v>
      </c>
    </row>
    <row r="66" spans="1:4" x14ac:dyDescent="0.25">
      <c r="A66" t="str">
        <f>T("   230240")</f>
        <v xml:space="preserve">   230240</v>
      </c>
      <c r="B66"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66">
        <v>1250000</v>
      </c>
      <c r="D66">
        <v>25000</v>
      </c>
    </row>
    <row r="67" spans="1:4" x14ac:dyDescent="0.25">
      <c r="A67" t="str">
        <f>T("   230400")</f>
        <v xml:space="preserve">   230400</v>
      </c>
      <c r="B67"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67">
        <v>12250000</v>
      </c>
      <c r="D67">
        <v>70000</v>
      </c>
    </row>
    <row r="68" spans="1:4" x14ac:dyDescent="0.25">
      <c r="A68" t="str">
        <f>T("   230610")</f>
        <v xml:space="preserve">   230610</v>
      </c>
      <c r="B68"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68">
        <v>8990100</v>
      </c>
      <c r="D68">
        <v>59934</v>
      </c>
    </row>
    <row r="69" spans="1:4" x14ac:dyDescent="0.25">
      <c r="A69" t="str">
        <f>T("   271019")</f>
        <v xml:space="preserve">   271019</v>
      </c>
      <c r="B69" t="str">
        <f>T("   Huiles moyennes et préparations, de pétrole ou de minéraux bitumineux, n.d.a.")</f>
        <v xml:space="preserve">   Huiles moyennes et préparations, de pétrole ou de minéraux bitumineux, n.d.a.</v>
      </c>
      <c r="C69">
        <v>21438320</v>
      </c>
      <c r="D69">
        <v>18246</v>
      </c>
    </row>
    <row r="70" spans="1:4" x14ac:dyDescent="0.25">
      <c r="A70" t="str">
        <f>T("   300490")</f>
        <v xml:space="preserve">   300490</v>
      </c>
      <c r="B70" t="s">
        <v>29</v>
      </c>
      <c r="C70">
        <v>17100000</v>
      </c>
      <c r="D70">
        <v>1070</v>
      </c>
    </row>
    <row r="71" spans="1:4" x14ac:dyDescent="0.25">
      <c r="A71" t="str">
        <f>T("   320890")</f>
        <v xml:space="preserve">   320890</v>
      </c>
      <c r="B71" t="s">
        <v>32</v>
      </c>
      <c r="C71">
        <v>4885648</v>
      </c>
      <c r="D71">
        <v>1405</v>
      </c>
    </row>
    <row r="72" spans="1:4" x14ac:dyDescent="0.25">
      <c r="A72" t="str">
        <f>T("   320910")</f>
        <v xml:space="preserve">   320910</v>
      </c>
      <c r="B72" t="str">
        <f>T("   Peintures et vernis à base de polymères acryliques ou vinyliques, dispersés ou dissous dans un milieu aqueux")</f>
        <v xml:space="preserve">   Peintures et vernis à base de polymères acryliques ou vinyliques, dispersés ou dissous dans un milieu aqueux</v>
      </c>
      <c r="C72">
        <v>7173737</v>
      </c>
      <c r="D72">
        <v>5065</v>
      </c>
    </row>
    <row r="73" spans="1:4" x14ac:dyDescent="0.25">
      <c r="A73" t="str">
        <f>T("   391721")</f>
        <v xml:space="preserve">   391721</v>
      </c>
      <c r="B73" t="str">
        <f>T("   TUBES ET TUYAUX RIGIDES, EN POLYMÈRES DE L'ÉTHYLÈNE")</f>
        <v xml:space="preserve">   TUBES ET TUYAUX RIGIDES, EN POLYMÈRES DE L'ÉTHYLÈNE</v>
      </c>
      <c r="C73">
        <v>359472500</v>
      </c>
      <c r="D73">
        <v>74800</v>
      </c>
    </row>
    <row r="74" spans="1:4" x14ac:dyDescent="0.25">
      <c r="A74" t="str">
        <f>T("   481910")</f>
        <v xml:space="preserve">   481910</v>
      </c>
      <c r="B74" t="str">
        <f>T("   Boîtes et caisses en papier ou en carton ondulé")</f>
        <v xml:space="preserve">   Boîtes et caisses en papier ou en carton ondulé</v>
      </c>
      <c r="C74">
        <v>340328</v>
      </c>
      <c r="D74">
        <v>200</v>
      </c>
    </row>
    <row r="75" spans="1:4" x14ac:dyDescent="0.25">
      <c r="A75" t="str">
        <f>T("   490700")</f>
        <v xml:space="preserve">   490700</v>
      </c>
      <c r="B75" t="s">
        <v>52</v>
      </c>
      <c r="C75">
        <v>6600000</v>
      </c>
      <c r="D75">
        <v>3309</v>
      </c>
    </row>
    <row r="76" spans="1:4" x14ac:dyDescent="0.25">
      <c r="A76" t="str">
        <f>T("   520812")</f>
        <v xml:space="preserve">   520812</v>
      </c>
      <c r="B76" t="str">
        <f>T("   Tissus de coton, écrus, à armure toile, contenant &gt;= 85% en poids de coton, d'un poids &gt; 100 g/m² mais &lt;= 200 g/m²")</f>
        <v xml:space="preserve">   Tissus de coton, écrus, à armure toile, contenant &gt;= 85% en poids de coton, d'un poids &gt; 100 g/m² mais &lt;= 200 g/m²</v>
      </c>
      <c r="C76">
        <v>22680000</v>
      </c>
      <c r="D76">
        <v>6960</v>
      </c>
    </row>
    <row r="77" spans="1:4" x14ac:dyDescent="0.25">
      <c r="A77" t="str">
        <f>T("   551110")</f>
        <v xml:space="preserve">   551110</v>
      </c>
      <c r="B77" t="str">
        <f>T("   Fils de fibres synthétiques discontinues, contenant &gt;= 85% en poids de ces fibres, conditionnés pour la vente au détail (à l'excl. des fils à coudre)")</f>
        <v xml:space="preserve">   Fils de fibres synthétiques discontinues, contenant &gt;= 85% en poids de ces fibres, conditionnés pour la vente au détail (à l'excl. des fils à coudre)</v>
      </c>
      <c r="C77">
        <v>4694560</v>
      </c>
      <c r="D77">
        <v>10540</v>
      </c>
    </row>
    <row r="78" spans="1:4" x14ac:dyDescent="0.25">
      <c r="A78" t="str">
        <f>T("   660199")</f>
        <v xml:space="preserve">   660199</v>
      </c>
      <c r="B78"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8">
        <v>12800000</v>
      </c>
      <c r="D78">
        <v>1300</v>
      </c>
    </row>
    <row r="79" spans="1:4" x14ac:dyDescent="0.25">
      <c r="A79" t="str">
        <f>T("   720839")</f>
        <v xml:space="preserve">   720839</v>
      </c>
      <c r="B7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79">
        <v>129500000</v>
      </c>
      <c r="D79">
        <v>350000</v>
      </c>
    </row>
    <row r="80" spans="1:4" x14ac:dyDescent="0.25">
      <c r="A80" t="str">
        <f>T("   720851")</f>
        <v xml:space="preserve">   720851</v>
      </c>
      <c r="B80" t="str">
        <f>T("   PRODUITS LAMINÉS PLATS, EN FER OU EN ACIERS NON-ALLIÉS, D'UNE LARGEUR &gt;= 600 MM, NON-ENROULÉS, SIMPL. LAMINÉS À CHAUD, NON-PLAQUÉS NI REVÊTUS, ÉPAISSEUR &gt; 10 MM (SANS MOTIFS EN RELIEF)")</f>
        <v xml:space="preserve">   PRODUITS LAMINÉS PLATS, EN FER OU EN ACIERS NON-ALLIÉS, D'UNE LARGEUR &gt;= 600 MM, NON-ENROULÉS, SIMPL. LAMINÉS À CHAUD, NON-PLAQUÉS NI REVÊTUS, ÉPAISSEUR &gt; 10 MM (SANS MOTIFS EN RELIEF)</v>
      </c>
      <c r="C80">
        <v>10994803</v>
      </c>
      <c r="D80">
        <v>40630</v>
      </c>
    </row>
    <row r="81" spans="1:4" x14ac:dyDescent="0.25">
      <c r="A81" t="str">
        <f>T("   721041")</f>
        <v xml:space="preserve">   721041</v>
      </c>
      <c r="B81"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1">
        <v>6960000</v>
      </c>
      <c r="D81">
        <v>15000</v>
      </c>
    </row>
    <row r="82" spans="1:4" x14ac:dyDescent="0.25">
      <c r="A82" t="str">
        <f>T("   721049")</f>
        <v xml:space="preserve">   721049</v>
      </c>
      <c r="B82"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2">
        <v>11600000</v>
      </c>
      <c r="D82">
        <v>25000</v>
      </c>
    </row>
    <row r="83" spans="1:4" x14ac:dyDescent="0.25">
      <c r="A83" t="str">
        <f>T("   721391")</f>
        <v xml:space="preserve">   721391</v>
      </c>
      <c r="B83"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3">
        <v>127199803</v>
      </c>
      <c r="D83">
        <v>350304</v>
      </c>
    </row>
    <row r="84" spans="1:4" x14ac:dyDescent="0.25">
      <c r="A84" t="str">
        <f>T("   732393")</f>
        <v xml:space="preserve">   732393</v>
      </c>
      <c r="B84" t="s">
        <v>71</v>
      </c>
      <c r="C84">
        <v>482132</v>
      </c>
      <c r="D84">
        <v>1250</v>
      </c>
    </row>
    <row r="85" spans="1:4" x14ac:dyDescent="0.25">
      <c r="A85" t="str">
        <f>T("   732690")</f>
        <v xml:space="preserve">   732690</v>
      </c>
      <c r="B8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85">
        <v>700000</v>
      </c>
      <c r="D85">
        <v>55</v>
      </c>
    </row>
    <row r="86" spans="1:4" x14ac:dyDescent="0.25">
      <c r="A86" t="str">
        <f>T("   760611")</f>
        <v xml:space="preserve">   760611</v>
      </c>
      <c r="B86"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86">
        <v>148082854</v>
      </c>
      <c r="D86">
        <v>100000</v>
      </c>
    </row>
    <row r="87" spans="1:4" x14ac:dyDescent="0.25">
      <c r="A87" t="str">
        <f>T("   821599")</f>
        <v xml:space="preserve">   821599</v>
      </c>
      <c r="B87" t="s">
        <v>75</v>
      </c>
      <c r="C87">
        <v>234958750</v>
      </c>
      <c r="D87">
        <v>12408</v>
      </c>
    </row>
    <row r="88" spans="1:4" x14ac:dyDescent="0.25">
      <c r="A88" t="str">
        <f>T("   842951")</f>
        <v xml:space="preserve">   842951</v>
      </c>
      <c r="B88" t="str">
        <f>T("   Chargeuses et chargeuses-pelleteuses, à chargement frontal, autopropulsées")</f>
        <v xml:space="preserve">   Chargeuses et chargeuses-pelleteuses, à chargement frontal, autopropulsées</v>
      </c>
      <c r="C88">
        <v>13100000</v>
      </c>
      <c r="D88">
        <v>3091</v>
      </c>
    </row>
    <row r="89" spans="1:4" x14ac:dyDescent="0.25">
      <c r="A89" t="str">
        <f>T("   842959")</f>
        <v xml:space="preserve">   842959</v>
      </c>
      <c r="B8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9">
        <v>216250000</v>
      </c>
      <c r="D89">
        <v>137000</v>
      </c>
    </row>
    <row r="90" spans="1:4" x14ac:dyDescent="0.25">
      <c r="A90" t="str">
        <f>T("   844359")</f>
        <v xml:space="preserve">   844359</v>
      </c>
      <c r="B90" t="s">
        <v>85</v>
      </c>
      <c r="C90">
        <v>2700000</v>
      </c>
      <c r="D90">
        <v>75.3</v>
      </c>
    </row>
    <row r="91" spans="1:4" x14ac:dyDescent="0.25">
      <c r="A91" t="str">
        <f>T("   847431")</f>
        <v xml:space="preserve">   847431</v>
      </c>
      <c r="B9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1">
        <v>6618000</v>
      </c>
      <c r="D91">
        <v>8560</v>
      </c>
    </row>
    <row r="92" spans="1:4" x14ac:dyDescent="0.25">
      <c r="A92" t="str">
        <f>T("   848180")</f>
        <v xml:space="preserve">   848180</v>
      </c>
      <c r="B92"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92">
        <v>517743400</v>
      </c>
      <c r="D92">
        <v>50535</v>
      </c>
    </row>
    <row r="93" spans="1:4" x14ac:dyDescent="0.25">
      <c r="A93" t="str">
        <f>T("   850239")</f>
        <v xml:space="preserve">   850239</v>
      </c>
      <c r="B93" t="str">
        <f>T("   Groupes électrogènes (autres qu'à énergie éolienne et à moteurs à piston)")</f>
        <v xml:space="preserve">   Groupes électrogènes (autres qu'à énergie éolienne et à moteurs à piston)</v>
      </c>
      <c r="C93">
        <v>10000000</v>
      </c>
      <c r="D93">
        <v>8256</v>
      </c>
    </row>
    <row r="94" spans="1:4" x14ac:dyDescent="0.25">
      <c r="A94" t="str">
        <f>T("   850300")</f>
        <v xml:space="preserve">   850300</v>
      </c>
      <c r="B94"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94">
        <v>450000</v>
      </c>
      <c r="D94">
        <v>815</v>
      </c>
    </row>
    <row r="95" spans="1:4" x14ac:dyDescent="0.25">
      <c r="A95" t="str">
        <f>T("   870530")</f>
        <v xml:space="preserve">   870530</v>
      </c>
      <c r="B95" t="str">
        <f>T("   Voitures de lutte contre l'incendie (sauf véhicules affectés principalement au transport des sapeurs-pompiers)")</f>
        <v xml:space="preserve">   Voitures de lutte contre l'incendie (sauf véhicules affectés principalement au transport des sapeurs-pompiers)</v>
      </c>
      <c r="C95">
        <v>153600</v>
      </c>
      <c r="D95">
        <v>4910</v>
      </c>
    </row>
    <row r="96" spans="1:4" x14ac:dyDescent="0.25">
      <c r="A96" t="str">
        <f>T("   940350")</f>
        <v xml:space="preserve">   940350</v>
      </c>
      <c r="B96" t="str">
        <f>T("   Meubles pour chambres à coucher, en bois (sauf sièges)")</f>
        <v xml:space="preserve">   Meubles pour chambres à coucher, en bois (sauf sièges)</v>
      </c>
      <c r="C96">
        <v>500000</v>
      </c>
      <c r="D96">
        <v>450</v>
      </c>
    </row>
    <row r="97" spans="1:4" x14ac:dyDescent="0.25">
      <c r="A97" t="str">
        <f>T("   940360")</f>
        <v xml:space="preserve">   940360</v>
      </c>
      <c r="B97" t="str">
        <f>T("   Meubles en bois (autres que pour bureaux, cuisines ou chambres à coucher et autres que sièges)")</f>
        <v xml:space="preserve">   Meubles en bois (autres que pour bureaux, cuisines ou chambres à coucher et autres que sièges)</v>
      </c>
      <c r="C97">
        <v>780000</v>
      </c>
      <c r="D97">
        <v>500</v>
      </c>
    </row>
    <row r="98" spans="1:4" x14ac:dyDescent="0.25">
      <c r="A98" t="str">
        <f>T("   940380")</f>
        <v xml:space="preserve">   940380</v>
      </c>
      <c r="B98" t="str">
        <f>T("   Meubles en rotin, osier, bambou ou autres matières (sauf métal, bois et matières plastiques)")</f>
        <v xml:space="preserve">   Meubles en rotin, osier, bambou ou autres matières (sauf métal, bois et matières plastiques)</v>
      </c>
      <c r="C98">
        <v>400000</v>
      </c>
      <c r="D98">
        <v>10000</v>
      </c>
    </row>
    <row r="99" spans="1:4" x14ac:dyDescent="0.25">
      <c r="A99" t="str">
        <f>T("BI")</f>
        <v>BI</v>
      </c>
      <c r="B99" t="str">
        <f>T("Burundi")</f>
        <v>Burundi</v>
      </c>
    </row>
    <row r="100" spans="1:4" x14ac:dyDescent="0.25">
      <c r="A100" t="str">
        <f>T("   ZZ_Total_Produit_SH6")</f>
        <v xml:space="preserve">   ZZ_Total_Produit_SH6</v>
      </c>
      <c r="B100" t="str">
        <f>T("   ZZ_Total_Produit_SH6")</f>
        <v xml:space="preserve">   ZZ_Total_Produit_SH6</v>
      </c>
      <c r="C100">
        <v>59071477</v>
      </c>
      <c r="D100">
        <v>19329</v>
      </c>
    </row>
    <row r="101" spans="1:4" x14ac:dyDescent="0.25">
      <c r="A101" t="str">
        <f>T("   120710")</f>
        <v xml:space="preserve">   120710</v>
      </c>
      <c r="B101" t="str">
        <f>T("   NOIX ET AMANDES DE PALMISTES")</f>
        <v xml:space="preserve">   NOIX ET AMANDES DE PALMISTES</v>
      </c>
      <c r="C101">
        <v>39488611</v>
      </c>
      <c r="D101">
        <v>349</v>
      </c>
    </row>
    <row r="102" spans="1:4" x14ac:dyDescent="0.25">
      <c r="A102" t="str">
        <f>T("   620590")</f>
        <v xml:space="preserve">   620590</v>
      </c>
      <c r="B10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2">
        <v>700000</v>
      </c>
      <c r="D102">
        <v>800</v>
      </c>
    </row>
    <row r="103" spans="1:4" x14ac:dyDescent="0.25">
      <c r="A103" t="str">
        <f>T("   732394")</f>
        <v xml:space="preserve">   732394</v>
      </c>
      <c r="B103" t="s">
        <v>72</v>
      </c>
      <c r="C103">
        <v>1000000</v>
      </c>
      <c r="D103">
        <v>800</v>
      </c>
    </row>
    <row r="104" spans="1:4" x14ac:dyDescent="0.25">
      <c r="A104" t="str">
        <f>T("   870322")</f>
        <v xml:space="preserve">   870322</v>
      </c>
      <c r="B104" t="s">
        <v>97</v>
      </c>
      <c r="C104">
        <v>1874304</v>
      </c>
      <c r="D104">
        <v>2170</v>
      </c>
    </row>
    <row r="105" spans="1:4" x14ac:dyDescent="0.25">
      <c r="A105" t="str">
        <f>T("   870323")</f>
        <v xml:space="preserve">   870323</v>
      </c>
      <c r="B105" t="s">
        <v>98</v>
      </c>
      <c r="C105">
        <v>4321910</v>
      </c>
      <c r="D105">
        <v>1700</v>
      </c>
    </row>
    <row r="106" spans="1:4" x14ac:dyDescent="0.25">
      <c r="A106" t="str">
        <f>T("   940350")</f>
        <v xml:space="preserve">   940350</v>
      </c>
      <c r="B106" t="str">
        <f>T("   Meubles pour chambres à coucher, en bois (sauf sièges)")</f>
        <v xml:space="preserve">   Meubles pour chambres à coucher, en bois (sauf sièges)</v>
      </c>
      <c r="C106">
        <v>2300000</v>
      </c>
      <c r="D106">
        <v>1700</v>
      </c>
    </row>
    <row r="107" spans="1:4" x14ac:dyDescent="0.25">
      <c r="A107" t="str">
        <f>T("   940380")</f>
        <v xml:space="preserve">   940380</v>
      </c>
      <c r="B107" t="str">
        <f>T("   Meubles en rotin, osier, bambou ou autres matières (sauf métal, bois et matières plastiques)")</f>
        <v xml:space="preserve">   Meubles en rotin, osier, bambou ou autres matières (sauf métal, bois et matières plastiques)</v>
      </c>
      <c r="C107">
        <v>9386652</v>
      </c>
      <c r="D107">
        <v>11810</v>
      </c>
    </row>
    <row r="108" spans="1:4" x14ac:dyDescent="0.25">
      <c r="A108" t="str">
        <f>T("CA")</f>
        <v>CA</v>
      </c>
      <c r="B108" t="str">
        <f>T("Canada")</f>
        <v>Canada</v>
      </c>
    </row>
    <row r="109" spans="1:4" x14ac:dyDescent="0.25">
      <c r="A109" t="str">
        <f>T("   ZZ_Total_Produit_SH6")</f>
        <v xml:space="preserve">   ZZ_Total_Produit_SH6</v>
      </c>
      <c r="B109" t="str">
        <f>T("   ZZ_Total_Produit_SH6")</f>
        <v xml:space="preserve">   ZZ_Total_Produit_SH6</v>
      </c>
      <c r="C109">
        <v>3440000</v>
      </c>
      <c r="D109">
        <v>19000</v>
      </c>
    </row>
    <row r="110" spans="1:4" x14ac:dyDescent="0.25">
      <c r="A110" t="str">
        <f>T("   091010")</f>
        <v xml:space="preserve">   091010</v>
      </c>
      <c r="B110" t="str">
        <f>T("   Gingembre")</f>
        <v xml:space="preserve">   Gingembre</v>
      </c>
      <c r="C110">
        <v>240000</v>
      </c>
      <c r="D110">
        <v>16000</v>
      </c>
    </row>
    <row r="111" spans="1:4" x14ac:dyDescent="0.25">
      <c r="A111" t="str">
        <f>T("   620590")</f>
        <v xml:space="preserve">   620590</v>
      </c>
      <c r="B11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11">
        <v>600000</v>
      </c>
      <c r="D111">
        <v>300</v>
      </c>
    </row>
    <row r="112" spans="1:4" x14ac:dyDescent="0.25">
      <c r="A112" t="str">
        <f>T("   621040")</f>
        <v xml:space="preserve">   621040</v>
      </c>
      <c r="B112" t="s">
        <v>55</v>
      </c>
      <c r="C112">
        <v>1200000</v>
      </c>
      <c r="D112">
        <v>1000</v>
      </c>
    </row>
    <row r="113" spans="1:4" x14ac:dyDescent="0.25">
      <c r="A113" t="str">
        <f>T("   732394")</f>
        <v xml:space="preserve">   732394</v>
      </c>
      <c r="B113" t="s">
        <v>72</v>
      </c>
      <c r="C113">
        <v>400000</v>
      </c>
      <c r="D113">
        <v>500</v>
      </c>
    </row>
    <row r="114" spans="1:4" x14ac:dyDescent="0.25">
      <c r="A114" t="str">
        <f>T("   940350")</f>
        <v xml:space="preserve">   940350</v>
      </c>
      <c r="B114" t="str">
        <f>T("   Meubles pour chambres à coucher, en bois (sauf sièges)")</f>
        <v xml:space="preserve">   Meubles pour chambres à coucher, en bois (sauf sièges)</v>
      </c>
      <c r="C114">
        <v>1000000</v>
      </c>
      <c r="D114">
        <v>1200</v>
      </c>
    </row>
    <row r="115" spans="1:4" x14ac:dyDescent="0.25">
      <c r="A115" t="str">
        <f>T("CD")</f>
        <v>CD</v>
      </c>
      <c r="B115" t="str">
        <f>T("Congo, République Démocratique")</f>
        <v>Congo, République Démocratique</v>
      </c>
    </row>
    <row r="116" spans="1:4" x14ac:dyDescent="0.25">
      <c r="A116" t="str">
        <f>T("   ZZ_Total_Produit_SH6")</f>
        <v xml:space="preserve">   ZZ_Total_Produit_SH6</v>
      </c>
      <c r="B116" t="str">
        <f>T("   ZZ_Total_Produit_SH6")</f>
        <v xml:space="preserve">   ZZ_Total_Produit_SH6</v>
      </c>
      <c r="C116">
        <v>110504305</v>
      </c>
      <c r="D116">
        <v>40741</v>
      </c>
    </row>
    <row r="117" spans="1:4" x14ac:dyDescent="0.25">
      <c r="A117" t="str">
        <f>T("   071339")</f>
        <v xml:space="preserve">   071339</v>
      </c>
      <c r="B117"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117">
        <v>2160000</v>
      </c>
      <c r="D117">
        <v>12600</v>
      </c>
    </row>
    <row r="118" spans="1:4" x14ac:dyDescent="0.25">
      <c r="A118" t="str">
        <f>T("   110620")</f>
        <v xml:space="preserve">   110620</v>
      </c>
      <c r="B118" t="str">
        <f>T("   Farines, semoules et poudres de sagou ou des racines ou tubercules du n° 0714")</f>
        <v xml:space="preserve">   Farines, semoules et poudres de sagou ou des racines ou tubercules du n° 0714</v>
      </c>
      <c r="C118">
        <v>2270000</v>
      </c>
      <c r="D118">
        <v>15800</v>
      </c>
    </row>
    <row r="119" spans="1:4" x14ac:dyDescent="0.25">
      <c r="A119" t="str">
        <f>T("   120710")</f>
        <v xml:space="preserve">   120710</v>
      </c>
      <c r="B119" t="str">
        <f>T("   NOIX ET AMANDES DE PALMISTES")</f>
        <v xml:space="preserve">   NOIX ET AMANDES DE PALMISTES</v>
      </c>
      <c r="C119">
        <v>70252997</v>
      </c>
      <c r="D119">
        <v>616</v>
      </c>
    </row>
    <row r="120" spans="1:4" x14ac:dyDescent="0.25">
      <c r="A120" t="str">
        <f>T("   620329")</f>
        <v xml:space="preserve">   620329</v>
      </c>
      <c r="B120"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120">
        <v>20012000</v>
      </c>
      <c r="D120">
        <v>3480</v>
      </c>
    </row>
    <row r="121" spans="1:4" x14ac:dyDescent="0.25">
      <c r="A121" t="str">
        <f>T("   620590")</f>
        <v xml:space="preserve">   620590</v>
      </c>
      <c r="B12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1">
        <v>300000</v>
      </c>
      <c r="D121">
        <v>400</v>
      </c>
    </row>
    <row r="122" spans="1:4" x14ac:dyDescent="0.25">
      <c r="A122" t="str">
        <f>T("   732394")</f>
        <v xml:space="preserve">   732394</v>
      </c>
      <c r="B122" t="s">
        <v>72</v>
      </c>
      <c r="C122">
        <v>400000</v>
      </c>
      <c r="D122">
        <v>530</v>
      </c>
    </row>
    <row r="123" spans="1:4" x14ac:dyDescent="0.25">
      <c r="A123" t="str">
        <f>T("   840820")</f>
        <v xml:space="preserve">   840820</v>
      </c>
      <c r="B123" t="s">
        <v>79</v>
      </c>
      <c r="C123">
        <v>300000</v>
      </c>
      <c r="D123">
        <v>1000</v>
      </c>
    </row>
    <row r="124" spans="1:4" x14ac:dyDescent="0.25">
      <c r="A124" t="str">
        <f>T("   870322")</f>
        <v xml:space="preserve">   870322</v>
      </c>
      <c r="B124" t="s">
        <v>97</v>
      </c>
      <c r="C124">
        <v>1159308</v>
      </c>
      <c r="D124">
        <v>2175</v>
      </c>
    </row>
    <row r="125" spans="1:4" x14ac:dyDescent="0.25">
      <c r="A125" t="str">
        <f>T("   870323")</f>
        <v xml:space="preserve">   870323</v>
      </c>
      <c r="B125" t="s">
        <v>98</v>
      </c>
      <c r="C125">
        <v>10000000</v>
      </c>
      <c r="D125">
        <v>1220</v>
      </c>
    </row>
    <row r="126" spans="1:4" x14ac:dyDescent="0.25">
      <c r="A126" t="str">
        <f>T("   940350")</f>
        <v xml:space="preserve">   940350</v>
      </c>
      <c r="B126" t="str">
        <f>T("   Meubles pour chambres à coucher, en bois (sauf sièges)")</f>
        <v xml:space="preserve">   Meubles pour chambres à coucher, en bois (sauf sièges)</v>
      </c>
      <c r="C126">
        <v>600000</v>
      </c>
      <c r="D126">
        <v>805</v>
      </c>
    </row>
    <row r="127" spans="1:4" x14ac:dyDescent="0.25">
      <c r="A127" t="str">
        <f>T("   940360")</f>
        <v xml:space="preserve">   940360</v>
      </c>
      <c r="B127" t="str">
        <f>T("   Meubles en bois (autres que pour bureaux, cuisines ou chambres à coucher et autres que sièges)")</f>
        <v xml:space="preserve">   Meubles en bois (autres que pour bureaux, cuisines ou chambres à coucher et autres que sièges)</v>
      </c>
      <c r="C127">
        <v>2850000</v>
      </c>
      <c r="D127">
        <v>1850</v>
      </c>
    </row>
    <row r="128" spans="1:4" x14ac:dyDescent="0.25">
      <c r="A128" t="str">
        <f>T("   950299")</f>
        <v xml:space="preserve">   950299</v>
      </c>
      <c r="B128" t="str">
        <f>T("   Parties et accessoires pour poupées représentant uniquement l'être humain, n.d.a.")</f>
        <v xml:space="preserve">   Parties et accessoires pour poupées représentant uniquement l'être humain, n.d.a.</v>
      </c>
      <c r="C128">
        <v>200000</v>
      </c>
      <c r="D128">
        <v>265</v>
      </c>
    </row>
    <row r="129" spans="1:4" x14ac:dyDescent="0.25">
      <c r="A129" t="str">
        <f>T("CG")</f>
        <v>CG</v>
      </c>
      <c r="B129" t="str">
        <f>T("Congo (Brazzaville)")</f>
        <v>Congo (Brazzaville)</v>
      </c>
    </row>
    <row r="130" spans="1:4" x14ac:dyDescent="0.25">
      <c r="A130" t="str">
        <f>T("   ZZ_Total_Produit_SH6")</f>
        <v xml:space="preserve">   ZZ_Total_Produit_SH6</v>
      </c>
      <c r="B130" t="str">
        <f>T("   ZZ_Total_Produit_SH6")</f>
        <v xml:space="preserve">   ZZ_Total_Produit_SH6</v>
      </c>
      <c r="C130">
        <v>113325374</v>
      </c>
      <c r="D130">
        <v>121344</v>
      </c>
    </row>
    <row r="131" spans="1:4" x14ac:dyDescent="0.25">
      <c r="A131" t="str">
        <f>T("   060499")</f>
        <v xml:space="preserve">   060499</v>
      </c>
      <c r="B131"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131">
        <v>615000</v>
      </c>
      <c r="D131">
        <v>10000</v>
      </c>
    </row>
    <row r="132" spans="1:4" x14ac:dyDescent="0.25">
      <c r="A132" t="str">
        <f>T("   071332")</f>
        <v xml:space="preserve">   071332</v>
      </c>
      <c r="B132" t="str">
        <f>T("   Haricots 'petits rouges' [haricots Adzuki] 'Phaseolus ou Vigna angularis', secs, écossés, même décortiqués ou cassés")</f>
        <v xml:space="preserve">   Haricots 'petits rouges' [haricots Adzuki] 'Phaseolus ou Vigna angularis', secs, écossés, même décortiqués ou cassés</v>
      </c>
      <c r="C132">
        <v>1875000</v>
      </c>
      <c r="D132">
        <v>15000</v>
      </c>
    </row>
    <row r="133" spans="1:4" x14ac:dyDescent="0.25">
      <c r="A133" t="str">
        <f>T("   100590")</f>
        <v xml:space="preserve">   100590</v>
      </c>
      <c r="B133" t="str">
        <f>T("   Maïs (autre que de semence)")</f>
        <v xml:space="preserve">   Maïs (autre que de semence)</v>
      </c>
      <c r="C133">
        <v>1000000</v>
      </c>
      <c r="D133">
        <v>5000</v>
      </c>
    </row>
    <row r="134" spans="1:4" x14ac:dyDescent="0.25">
      <c r="A134" t="str">
        <f>T("   110419")</f>
        <v xml:space="preserve">   110419</v>
      </c>
      <c r="B134" t="str">
        <f>T("   GRAINS DE CÉRÉALES, APLATIS OU EN FLOCONS (À L'EXCL. DES GRAINS D'AVOINE)")</f>
        <v xml:space="preserve">   GRAINS DE CÉRÉALES, APLATIS OU EN FLOCONS (À L'EXCL. DES GRAINS D'AVOINE)</v>
      </c>
      <c r="C134">
        <v>1000000</v>
      </c>
      <c r="D134">
        <v>10000</v>
      </c>
    </row>
    <row r="135" spans="1:4" x14ac:dyDescent="0.25">
      <c r="A135" t="str">
        <f>T("   110620")</f>
        <v xml:space="preserve">   110620</v>
      </c>
      <c r="B135" t="str">
        <f>T("   Farines, semoules et poudres de sagou ou des racines ou tubercules du n° 0714")</f>
        <v xml:space="preserve">   Farines, semoules et poudres de sagou ou des racines ou tubercules du n° 0714</v>
      </c>
      <c r="C135">
        <v>3057000</v>
      </c>
      <c r="D135">
        <v>19200</v>
      </c>
    </row>
    <row r="136" spans="1:4" x14ac:dyDescent="0.25">
      <c r="A136" t="str">
        <f>T("   120710")</f>
        <v xml:space="preserve">   120710</v>
      </c>
      <c r="B136" t="str">
        <f>T("   NOIX ET AMANDES DE PALMISTES")</f>
        <v xml:space="preserve">   NOIX ET AMANDES DE PALMISTES</v>
      </c>
      <c r="C136">
        <v>76746969</v>
      </c>
      <c r="D136">
        <v>672</v>
      </c>
    </row>
    <row r="137" spans="1:4" x14ac:dyDescent="0.25">
      <c r="A137" t="str">
        <f>T("   160420")</f>
        <v xml:space="preserve">   160420</v>
      </c>
      <c r="B137" t="str">
        <f>T("   Préparations et conserves de poissons (à l'excl. des préparations et conserves de poissons entiers ou en morceaux)")</f>
        <v xml:space="preserve">   Préparations et conserves de poissons (à l'excl. des préparations et conserves de poissons entiers ou en morceaux)</v>
      </c>
      <c r="C137">
        <v>1678601</v>
      </c>
      <c r="D137">
        <v>27625</v>
      </c>
    </row>
    <row r="138" spans="1:4" x14ac:dyDescent="0.25">
      <c r="A138" t="str">
        <f>T("   392290")</f>
        <v xml:space="preserve">   392290</v>
      </c>
      <c r="B138" t="str">
        <f>T("   Bidets, cuvettes d'aisance, réservoirs de chasse et articles simil. pour usages sanitaires ou hygiéniques, en matières plastiques (à l'excl. des baignoires, des douches, d'éviers, des lavabos ainsi que des sièges et couvercles de cuvettes d'aisance)")</f>
        <v xml:space="preserve">   Bidets, cuvettes d'aisance, réservoirs de chasse et articles simil. pour usages sanitaires ou hygiéniques, en matières plastiques (à l'excl. des baignoires, des douches, d'éviers, des lavabos ainsi que des sièges et couvercles de cuvettes d'aisance)</v>
      </c>
      <c r="C138">
        <v>120000</v>
      </c>
      <c r="D138">
        <v>40</v>
      </c>
    </row>
    <row r="139" spans="1:4" x14ac:dyDescent="0.25">
      <c r="A139" t="str">
        <f>T("   420219")</f>
        <v xml:space="preserve">   420219</v>
      </c>
      <c r="B139" t="s">
        <v>38</v>
      </c>
      <c r="C139">
        <v>2000000</v>
      </c>
      <c r="D139">
        <v>15810</v>
      </c>
    </row>
    <row r="140" spans="1:4" x14ac:dyDescent="0.25">
      <c r="A140" t="str">
        <f>T("   732619")</f>
        <v xml:space="preserve">   732619</v>
      </c>
      <c r="B140"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140">
        <v>2410000</v>
      </c>
      <c r="D140">
        <v>6000</v>
      </c>
    </row>
    <row r="141" spans="1:4" x14ac:dyDescent="0.25">
      <c r="A141" t="str">
        <f>T("   831190")</f>
        <v xml:space="preserve">   831190</v>
      </c>
      <c r="B141" t="s">
        <v>77</v>
      </c>
      <c r="C141">
        <v>200000</v>
      </c>
      <c r="D141">
        <v>1000</v>
      </c>
    </row>
    <row r="142" spans="1:4" x14ac:dyDescent="0.25">
      <c r="A142" t="str">
        <f>T("   870322")</f>
        <v xml:space="preserve">   870322</v>
      </c>
      <c r="B142" t="s">
        <v>97</v>
      </c>
      <c r="C142">
        <v>9257994</v>
      </c>
      <c r="D142">
        <v>4030</v>
      </c>
    </row>
    <row r="143" spans="1:4" x14ac:dyDescent="0.25">
      <c r="A143" t="str">
        <f>T("   870421")</f>
        <v xml:space="preserve">   870421</v>
      </c>
      <c r="B143" t="s">
        <v>102</v>
      </c>
      <c r="C143">
        <v>5705703</v>
      </c>
      <c r="D143">
        <v>1857</v>
      </c>
    </row>
    <row r="144" spans="1:4" x14ac:dyDescent="0.25">
      <c r="A144" t="str">
        <f>T("   870431")</f>
        <v xml:space="preserve">   870431</v>
      </c>
      <c r="B144" t="s">
        <v>105</v>
      </c>
      <c r="C144">
        <v>3874107</v>
      </c>
      <c r="D144">
        <v>1410</v>
      </c>
    </row>
    <row r="145" spans="1:4" x14ac:dyDescent="0.25">
      <c r="A145" t="str">
        <f>T("   870600")</f>
        <v xml:space="preserve">   870600</v>
      </c>
      <c r="B145" t="s">
        <v>106</v>
      </c>
      <c r="C145">
        <v>150000</v>
      </c>
      <c r="D145">
        <v>1000</v>
      </c>
    </row>
    <row r="146" spans="1:4" x14ac:dyDescent="0.25">
      <c r="A146" t="str">
        <f>T("   940320")</f>
        <v xml:space="preserve">   940320</v>
      </c>
      <c r="B146"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146">
        <v>450000</v>
      </c>
      <c r="D146">
        <v>300</v>
      </c>
    </row>
    <row r="147" spans="1:4" x14ac:dyDescent="0.25">
      <c r="A147" t="str">
        <f>T("   940360")</f>
        <v xml:space="preserve">   940360</v>
      </c>
      <c r="B147" t="str">
        <f>T("   Meubles en bois (autres que pour bureaux, cuisines ou chambres à coucher et autres que sièges)")</f>
        <v xml:space="preserve">   Meubles en bois (autres que pour bureaux, cuisines ou chambres à coucher et autres que sièges)</v>
      </c>
      <c r="C147">
        <v>1785000</v>
      </c>
      <c r="D147">
        <v>2000</v>
      </c>
    </row>
    <row r="148" spans="1:4" x14ac:dyDescent="0.25">
      <c r="A148" t="str">
        <f>T("   940380")</f>
        <v xml:space="preserve">   940380</v>
      </c>
      <c r="B148" t="str">
        <f>T("   Meubles en rotin, osier, bambou ou autres matières (sauf métal, bois et matières plastiques)")</f>
        <v xml:space="preserve">   Meubles en rotin, osier, bambou ou autres matières (sauf métal, bois et matières plastiques)</v>
      </c>
      <c r="C148">
        <v>1400000</v>
      </c>
      <c r="D148">
        <v>400</v>
      </c>
    </row>
    <row r="149" spans="1:4" x14ac:dyDescent="0.25">
      <c r="A149" t="str">
        <f>T("CH")</f>
        <v>CH</v>
      </c>
      <c r="B149" t="str">
        <f>T("Suisse")</f>
        <v>Suisse</v>
      </c>
    </row>
    <row r="150" spans="1:4" x14ac:dyDescent="0.25">
      <c r="A150" t="str">
        <f>T("   ZZ_Total_Produit_SH6")</f>
        <v xml:space="preserve">   ZZ_Total_Produit_SH6</v>
      </c>
      <c r="B150" t="str">
        <f>T("   ZZ_Total_Produit_SH6")</f>
        <v xml:space="preserve">   ZZ_Total_Produit_SH6</v>
      </c>
      <c r="C150">
        <v>16750000</v>
      </c>
      <c r="D150">
        <v>885000</v>
      </c>
    </row>
    <row r="151" spans="1:4" x14ac:dyDescent="0.25">
      <c r="A151" t="str">
        <f>T("   440399")</f>
        <v xml:space="preserve">   440399</v>
      </c>
      <c r="B151" t="s">
        <v>44</v>
      </c>
      <c r="C151">
        <v>6000000</v>
      </c>
      <c r="D151">
        <v>670000</v>
      </c>
    </row>
    <row r="152" spans="1:4" x14ac:dyDescent="0.25">
      <c r="A152" t="str">
        <f>T("   720449")</f>
        <v xml:space="preserve">   720449</v>
      </c>
      <c r="B152" t="s">
        <v>64</v>
      </c>
      <c r="C152">
        <v>10750000</v>
      </c>
      <c r="D152">
        <v>215000</v>
      </c>
    </row>
    <row r="153" spans="1:4" x14ac:dyDescent="0.25">
      <c r="A153" t="str">
        <f>T("CI")</f>
        <v>CI</v>
      </c>
      <c r="B153" t="str">
        <f>T("Côte d'Ivoire")</f>
        <v>Côte d'Ivoire</v>
      </c>
    </row>
    <row r="154" spans="1:4" x14ac:dyDescent="0.25">
      <c r="A154" t="str">
        <f>T("   ZZ_Total_Produit_SH6")</f>
        <v xml:space="preserve">   ZZ_Total_Produit_SH6</v>
      </c>
      <c r="B154" t="str">
        <f>T("   ZZ_Total_Produit_SH6")</f>
        <v xml:space="preserve">   ZZ_Total_Produit_SH6</v>
      </c>
      <c r="C154">
        <v>4992409142</v>
      </c>
      <c r="D154">
        <v>6838563</v>
      </c>
    </row>
    <row r="155" spans="1:4" x14ac:dyDescent="0.25">
      <c r="A155" t="str">
        <f>T("   230400")</f>
        <v xml:space="preserve">   230400</v>
      </c>
      <c r="B155"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55">
        <v>310510000</v>
      </c>
      <c r="D155">
        <v>1052000</v>
      </c>
    </row>
    <row r="156" spans="1:4" x14ac:dyDescent="0.25">
      <c r="A156" t="str">
        <f>T("   230610")</f>
        <v xml:space="preserve">   230610</v>
      </c>
      <c r="B156"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56">
        <v>629147795</v>
      </c>
      <c r="D156">
        <v>4100460</v>
      </c>
    </row>
    <row r="157" spans="1:4" x14ac:dyDescent="0.25">
      <c r="A157" t="str">
        <f>T("   230649")</f>
        <v xml:space="preserve">   230649</v>
      </c>
      <c r="B157" t="s">
        <v>23</v>
      </c>
      <c r="C157">
        <v>18300000</v>
      </c>
      <c r="D157">
        <v>60000</v>
      </c>
    </row>
    <row r="158" spans="1:4" x14ac:dyDescent="0.25">
      <c r="A158" t="str">
        <f>T("   251319")</f>
        <v xml:space="preserve">   251319</v>
      </c>
      <c r="B158" t="str">
        <f>T("   Pierre ponce, broyée ou pulvérisée")</f>
        <v xml:space="preserve">   Pierre ponce, broyée ou pulvérisée</v>
      </c>
      <c r="C158">
        <v>6000000</v>
      </c>
      <c r="D158">
        <v>191386</v>
      </c>
    </row>
    <row r="159" spans="1:4" x14ac:dyDescent="0.25">
      <c r="A159" t="str">
        <f>T("   271019")</f>
        <v xml:space="preserve">   271019</v>
      </c>
      <c r="B159" t="str">
        <f>T("   Huiles moyennes et préparations, de pétrole ou de minéraux bitumineux, n.d.a.")</f>
        <v xml:space="preserve">   Huiles moyennes et préparations, de pétrole ou de minéraux bitumineux, n.d.a.</v>
      </c>
      <c r="C159">
        <v>54715873</v>
      </c>
      <c r="D159">
        <v>105674</v>
      </c>
    </row>
    <row r="160" spans="1:4" x14ac:dyDescent="0.25">
      <c r="A160" t="str">
        <f>T("   271320")</f>
        <v xml:space="preserve">   271320</v>
      </c>
      <c r="B160" t="str">
        <f>T("   Bitume de pétrole")</f>
        <v xml:space="preserve">   Bitume de pétrole</v>
      </c>
      <c r="C160">
        <v>4260000</v>
      </c>
      <c r="D160">
        <v>10000</v>
      </c>
    </row>
    <row r="161" spans="1:4" x14ac:dyDescent="0.25">
      <c r="A161" t="str">
        <f>T("   370790")</f>
        <v xml:space="preserve">   370790</v>
      </c>
      <c r="B161" t="s">
        <v>35</v>
      </c>
      <c r="C161">
        <v>3529411</v>
      </c>
      <c r="D161">
        <v>5450</v>
      </c>
    </row>
    <row r="162" spans="1:4" x14ac:dyDescent="0.25">
      <c r="A162" t="str">
        <f>T("   382490")</f>
        <v xml:space="preserve">   382490</v>
      </c>
      <c r="B162"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62">
        <v>3461520</v>
      </c>
      <c r="D162">
        <v>11017</v>
      </c>
    </row>
    <row r="163" spans="1:4" x14ac:dyDescent="0.25">
      <c r="A163" t="str">
        <f>T("   490700")</f>
        <v xml:space="preserve">   490700</v>
      </c>
      <c r="B163" t="s">
        <v>52</v>
      </c>
      <c r="C163">
        <v>33400000</v>
      </c>
      <c r="D163">
        <v>16136</v>
      </c>
    </row>
    <row r="164" spans="1:4" x14ac:dyDescent="0.25">
      <c r="A164" t="str">
        <f>T("   520812")</f>
        <v xml:space="preserve">   520812</v>
      </c>
      <c r="B164" t="str">
        <f>T("   Tissus de coton, écrus, à armure toile, contenant &gt;= 85% en poids de coton, d'un poids &gt; 100 g/m² mais &lt;= 200 g/m²")</f>
        <v xml:space="preserve">   Tissus de coton, écrus, à armure toile, contenant &gt;= 85% en poids de coton, d'un poids &gt; 100 g/m² mais &lt;= 200 g/m²</v>
      </c>
      <c r="C164">
        <v>3817605120</v>
      </c>
      <c r="D164">
        <v>1158074</v>
      </c>
    </row>
    <row r="165" spans="1:4" x14ac:dyDescent="0.25">
      <c r="A165" t="str">
        <f>T("   630900")</f>
        <v xml:space="preserve">   630900</v>
      </c>
      <c r="B165" t="s">
        <v>57</v>
      </c>
      <c r="C165">
        <v>11000000</v>
      </c>
      <c r="D165">
        <v>38000</v>
      </c>
    </row>
    <row r="166" spans="1:4" x14ac:dyDescent="0.25">
      <c r="A166" t="str">
        <f>T("   732399")</f>
        <v xml:space="preserve">   732399</v>
      </c>
      <c r="B166" t="s">
        <v>73</v>
      </c>
      <c r="C166">
        <v>40000441</v>
      </c>
      <c r="D166">
        <v>16000</v>
      </c>
    </row>
    <row r="167" spans="1:4" x14ac:dyDescent="0.25">
      <c r="A167" t="str">
        <f>T("   831130")</f>
        <v xml:space="preserve">   831130</v>
      </c>
      <c r="B167" t="s">
        <v>76</v>
      </c>
      <c r="C167">
        <v>960000</v>
      </c>
      <c r="D167">
        <v>1600</v>
      </c>
    </row>
    <row r="168" spans="1:4" x14ac:dyDescent="0.25">
      <c r="A168" t="str">
        <f>T("   842919")</f>
        <v xml:space="preserve">   842919</v>
      </c>
      <c r="B168" t="str">
        <f>T("   Bouteurs 'bulldozers' et bouteurs biais 'angledozers', sur roues")</f>
        <v xml:space="preserve">   Bouteurs 'bulldozers' et bouteurs biais 'angledozers', sur roues</v>
      </c>
      <c r="C168">
        <v>6231620</v>
      </c>
      <c r="D168">
        <v>6000</v>
      </c>
    </row>
    <row r="169" spans="1:4" x14ac:dyDescent="0.25">
      <c r="A169" t="str">
        <f>T("   842959")</f>
        <v xml:space="preserve">   842959</v>
      </c>
      <c r="B169"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169">
        <v>8000000</v>
      </c>
      <c r="D169">
        <v>9600</v>
      </c>
    </row>
    <row r="170" spans="1:4" x14ac:dyDescent="0.25">
      <c r="A170" t="str">
        <f>T("   870322")</f>
        <v xml:space="preserve">   870322</v>
      </c>
      <c r="B170" t="s">
        <v>97</v>
      </c>
      <c r="C170">
        <v>2863553</v>
      </c>
      <c r="D170">
        <v>2480</v>
      </c>
    </row>
    <row r="171" spans="1:4" x14ac:dyDescent="0.25">
      <c r="A171" t="str">
        <f>T("   870323")</f>
        <v xml:space="preserve">   870323</v>
      </c>
      <c r="B171" t="s">
        <v>98</v>
      </c>
      <c r="C171">
        <v>14443309</v>
      </c>
      <c r="D171">
        <v>4201</v>
      </c>
    </row>
    <row r="172" spans="1:4" x14ac:dyDescent="0.25">
      <c r="A172" t="str">
        <f>T("   870333")</f>
        <v xml:space="preserve">   870333</v>
      </c>
      <c r="B172" t="s">
        <v>101</v>
      </c>
      <c r="C172">
        <v>9446820</v>
      </c>
      <c r="D172">
        <v>2085</v>
      </c>
    </row>
    <row r="173" spans="1:4" x14ac:dyDescent="0.25">
      <c r="A173" t="str">
        <f>T("   870421")</f>
        <v xml:space="preserve">   870421</v>
      </c>
      <c r="B173" t="s">
        <v>102</v>
      </c>
      <c r="C173">
        <v>5247680</v>
      </c>
      <c r="D173">
        <v>3000</v>
      </c>
    </row>
    <row r="174" spans="1:4" x14ac:dyDescent="0.25">
      <c r="A174" t="str">
        <f>T("   901920")</f>
        <v xml:space="preserve">   901920</v>
      </c>
      <c r="B174" t="str">
        <f>T("   APPAREILS D'OZONOTHERAPIE, D'OXYGÉNOTHERAPIE, D'AÉROSOLTHERAPIE; APPAREILS RESPIRATOIRES DE RÉANIMATION ET AUTRES APPAREILS DE THERAPIE RESPIRATOIRE")</f>
        <v xml:space="preserve">   APPAREILS D'OZONOTHERAPIE, D'OXYGÉNOTHERAPIE, D'AÉROSOLTHERAPIE; APPAREILS RESPIRATOIRES DE RÉANIMATION ET AUTRES APPAREILS DE THERAPIE RESPIRATOIRE</v>
      </c>
      <c r="C174">
        <v>9885000</v>
      </c>
      <c r="D174">
        <v>7000</v>
      </c>
    </row>
    <row r="175" spans="1:4" x14ac:dyDescent="0.25">
      <c r="A175" t="str">
        <f>T("   940360")</f>
        <v xml:space="preserve">   940360</v>
      </c>
      <c r="B175" t="str">
        <f>T("   Meubles en bois (autres que pour bureaux, cuisines ou chambres à coucher et autres que sièges)")</f>
        <v xml:space="preserve">   Meubles en bois (autres que pour bureaux, cuisines ou chambres à coucher et autres que sièges)</v>
      </c>
      <c r="C175">
        <v>1301000</v>
      </c>
      <c r="D175">
        <v>3400</v>
      </c>
    </row>
    <row r="176" spans="1:4" x14ac:dyDescent="0.25">
      <c r="A176" t="str">
        <f>T("   940380")</f>
        <v xml:space="preserve">   940380</v>
      </c>
      <c r="B176" t="str">
        <f>T("   Meubles en rotin, osier, bambou ou autres matières (sauf métal, bois et matières plastiques)")</f>
        <v xml:space="preserve">   Meubles en rotin, osier, bambou ou autres matières (sauf métal, bois et matières plastiques)</v>
      </c>
      <c r="C176">
        <v>2100000</v>
      </c>
      <c r="D176">
        <v>35000</v>
      </c>
    </row>
    <row r="177" spans="1:4" x14ac:dyDescent="0.25">
      <c r="A177" t="str">
        <f>T("CL")</f>
        <v>CL</v>
      </c>
      <c r="B177" t="str">
        <f>T("Chili")</f>
        <v>Chili</v>
      </c>
    </row>
    <row r="178" spans="1:4" x14ac:dyDescent="0.25">
      <c r="A178" t="str">
        <f>T("   ZZ_Total_Produit_SH6")</f>
        <v xml:space="preserve">   ZZ_Total_Produit_SH6</v>
      </c>
      <c r="B178" t="str">
        <f>T("   ZZ_Total_Produit_SH6")</f>
        <v xml:space="preserve">   ZZ_Total_Produit_SH6</v>
      </c>
      <c r="C178">
        <v>3000000</v>
      </c>
      <c r="D178">
        <v>4000</v>
      </c>
    </row>
    <row r="179" spans="1:4" x14ac:dyDescent="0.25">
      <c r="A179" t="str">
        <f>T("   620590")</f>
        <v xml:space="preserve">   620590</v>
      </c>
      <c r="B17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79">
        <v>750000</v>
      </c>
      <c r="D179">
        <v>1000</v>
      </c>
    </row>
    <row r="180" spans="1:4" x14ac:dyDescent="0.25">
      <c r="A180" t="str">
        <f>T("   732394")</f>
        <v xml:space="preserve">   732394</v>
      </c>
      <c r="B180" t="s">
        <v>72</v>
      </c>
      <c r="C180">
        <v>900000</v>
      </c>
      <c r="D180">
        <v>1100</v>
      </c>
    </row>
    <row r="181" spans="1:4" x14ac:dyDescent="0.25">
      <c r="A181" t="str">
        <f>T("   940350")</f>
        <v xml:space="preserve">   940350</v>
      </c>
      <c r="B181" t="str">
        <f>T("   Meubles pour chambres à coucher, en bois (sauf sièges)")</f>
        <v xml:space="preserve">   Meubles pour chambres à coucher, en bois (sauf sièges)</v>
      </c>
      <c r="C181">
        <v>1200000</v>
      </c>
      <c r="D181">
        <v>1600</v>
      </c>
    </row>
    <row r="182" spans="1:4" x14ac:dyDescent="0.25">
      <c r="A182" t="str">
        <f>T("   950299")</f>
        <v xml:space="preserve">   950299</v>
      </c>
      <c r="B182" t="str">
        <f>T("   Parties et accessoires pour poupées représentant uniquement l'être humain, n.d.a.")</f>
        <v xml:space="preserve">   Parties et accessoires pour poupées représentant uniquement l'être humain, n.d.a.</v>
      </c>
      <c r="C182">
        <v>150000</v>
      </c>
      <c r="D182">
        <v>300</v>
      </c>
    </row>
    <row r="183" spans="1:4" x14ac:dyDescent="0.25">
      <c r="A183" t="str">
        <f>T("CM")</f>
        <v>CM</v>
      </c>
      <c r="B183" t="str">
        <f>T("Cameroun")</f>
        <v>Cameroun</v>
      </c>
    </row>
    <row r="184" spans="1:4" x14ac:dyDescent="0.25">
      <c r="A184" t="str">
        <f>T("   ZZ_Total_Produit_SH6")</f>
        <v xml:space="preserve">   ZZ_Total_Produit_SH6</v>
      </c>
      <c r="B184" t="str">
        <f>T("   ZZ_Total_Produit_SH6")</f>
        <v xml:space="preserve">   ZZ_Total_Produit_SH6</v>
      </c>
      <c r="C184">
        <v>1422864547</v>
      </c>
      <c r="D184">
        <v>465706</v>
      </c>
    </row>
    <row r="185" spans="1:4" x14ac:dyDescent="0.25">
      <c r="A185" t="str">
        <f>T("   100590")</f>
        <v xml:space="preserve">   100590</v>
      </c>
      <c r="B185" t="str">
        <f>T("   Maïs (autre que de semence)")</f>
        <v xml:space="preserve">   Maïs (autre que de semence)</v>
      </c>
      <c r="C185">
        <v>1350000</v>
      </c>
      <c r="D185">
        <v>18750</v>
      </c>
    </row>
    <row r="186" spans="1:4" x14ac:dyDescent="0.25">
      <c r="A186" t="str">
        <f>T("   230400")</f>
        <v xml:space="preserve">   230400</v>
      </c>
      <c r="B18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86">
        <v>18221414</v>
      </c>
      <c r="D186">
        <v>99208</v>
      </c>
    </row>
    <row r="187" spans="1:4" x14ac:dyDescent="0.25">
      <c r="A187" t="str">
        <f>T("   300390")</f>
        <v xml:space="preserve">   300390</v>
      </c>
      <c r="B187" t="s">
        <v>27</v>
      </c>
      <c r="C187">
        <v>486178005</v>
      </c>
      <c r="D187">
        <v>35015</v>
      </c>
    </row>
    <row r="188" spans="1:4" x14ac:dyDescent="0.25">
      <c r="A188" t="str">
        <f>T("   300490")</f>
        <v xml:space="preserve">   300490</v>
      </c>
      <c r="B188" t="s">
        <v>29</v>
      </c>
      <c r="C188">
        <v>10345000</v>
      </c>
      <c r="D188">
        <v>2530</v>
      </c>
    </row>
    <row r="189" spans="1:4" x14ac:dyDescent="0.25">
      <c r="A189" t="str">
        <f>T("   490199")</f>
        <v xml:space="preserve">   490199</v>
      </c>
      <c r="B18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89">
        <v>12800403</v>
      </c>
      <c r="D189">
        <v>1005</v>
      </c>
    </row>
    <row r="190" spans="1:4" x14ac:dyDescent="0.25">
      <c r="A190" t="str">
        <f>T("   520812")</f>
        <v xml:space="preserve">   520812</v>
      </c>
      <c r="B190" t="str">
        <f>T("   Tissus de coton, écrus, à armure toile, contenant &gt;= 85% en poids de coton, d'un poids &gt; 100 g/m² mais &lt;= 200 g/m²")</f>
        <v xml:space="preserve">   Tissus de coton, écrus, à armure toile, contenant &gt;= 85% en poids de coton, d'un poids &gt; 100 g/m² mais &lt;= 200 g/m²</v>
      </c>
      <c r="C190">
        <v>622524000</v>
      </c>
      <c r="D190">
        <v>200345</v>
      </c>
    </row>
    <row r="191" spans="1:4" x14ac:dyDescent="0.25">
      <c r="A191" t="str">
        <f>T("   521211")</f>
        <v xml:space="preserve">   521211</v>
      </c>
      <c r="B191"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191">
        <v>251806800</v>
      </c>
      <c r="D191">
        <v>82608</v>
      </c>
    </row>
    <row r="192" spans="1:4" x14ac:dyDescent="0.25">
      <c r="A192" t="str">
        <f>T("   620590")</f>
        <v xml:space="preserve">   620590</v>
      </c>
      <c r="B19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92">
        <v>1600000</v>
      </c>
      <c r="D192">
        <v>1500</v>
      </c>
    </row>
    <row r="193" spans="1:4" x14ac:dyDescent="0.25">
      <c r="A193" t="str">
        <f>T("   701090")</f>
        <v xml:space="preserve">   701090</v>
      </c>
      <c r="B193" t="s">
        <v>62</v>
      </c>
      <c r="C193">
        <v>264000</v>
      </c>
      <c r="D193">
        <v>60</v>
      </c>
    </row>
    <row r="194" spans="1:4" x14ac:dyDescent="0.25">
      <c r="A194" t="str">
        <f>T("   732394")</f>
        <v xml:space="preserve">   732394</v>
      </c>
      <c r="B194" t="s">
        <v>72</v>
      </c>
      <c r="C194">
        <v>1100000</v>
      </c>
      <c r="D194">
        <v>1200</v>
      </c>
    </row>
    <row r="195" spans="1:4" x14ac:dyDescent="0.25">
      <c r="A195" t="str">
        <f>T("   870322")</f>
        <v xml:space="preserve">   870322</v>
      </c>
      <c r="B195" t="s">
        <v>97</v>
      </c>
      <c r="C195">
        <v>1000000</v>
      </c>
      <c r="D195">
        <v>1090</v>
      </c>
    </row>
    <row r="196" spans="1:4" x14ac:dyDescent="0.25">
      <c r="A196" t="str">
        <f>T("   870323")</f>
        <v xml:space="preserve">   870323</v>
      </c>
      <c r="B196" t="s">
        <v>98</v>
      </c>
      <c r="C196">
        <v>6124925</v>
      </c>
      <c r="D196">
        <v>1445</v>
      </c>
    </row>
    <row r="197" spans="1:4" x14ac:dyDescent="0.25">
      <c r="A197" t="str">
        <f>T("   940350")</f>
        <v xml:space="preserve">   940350</v>
      </c>
      <c r="B197" t="str">
        <f>T("   Meubles pour chambres à coucher, en bois (sauf sièges)")</f>
        <v xml:space="preserve">   Meubles pour chambres à coucher, en bois (sauf sièges)</v>
      </c>
      <c r="C197">
        <v>2800000</v>
      </c>
      <c r="D197">
        <v>4300</v>
      </c>
    </row>
    <row r="198" spans="1:4" x14ac:dyDescent="0.25">
      <c r="A198" t="str">
        <f>T("   940360")</f>
        <v xml:space="preserve">   940360</v>
      </c>
      <c r="B198" t="str">
        <f>T("   Meubles en bois (autres que pour bureaux, cuisines ou chambres à coucher et autres que sièges)")</f>
        <v xml:space="preserve">   Meubles en bois (autres que pour bureaux, cuisines ou chambres à coucher et autres que sièges)</v>
      </c>
      <c r="C198">
        <v>1500000</v>
      </c>
      <c r="D198">
        <v>1500</v>
      </c>
    </row>
    <row r="199" spans="1:4" x14ac:dyDescent="0.25">
      <c r="A199" t="str">
        <f>T("   940380")</f>
        <v xml:space="preserve">   940380</v>
      </c>
      <c r="B199" t="str">
        <f>T("   Meubles en rotin, osier, bambou ou autres matières (sauf métal, bois et matières plastiques)")</f>
        <v xml:space="preserve">   Meubles en rotin, osier, bambou ou autres matières (sauf métal, bois et matières plastiques)</v>
      </c>
      <c r="C199">
        <v>5250000</v>
      </c>
      <c r="D199">
        <v>15150</v>
      </c>
    </row>
    <row r="200" spans="1:4" x14ac:dyDescent="0.25">
      <c r="A200" t="str">
        <f>T("CN")</f>
        <v>CN</v>
      </c>
      <c r="B200" t="str">
        <f>T("Chine")</f>
        <v>Chine</v>
      </c>
    </row>
    <row r="201" spans="1:4" x14ac:dyDescent="0.25">
      <c r="A201" t="str">
        <f>T("   ZZ_Total_Produit_SH6")</f>
        <v xml:space="preserve">   ZZ_Total_Produit_SH6</v>
      </c>
      <c r="B201" t="str">
        <f>T("   ZZ_Total_Produit_SH6")</f>
        <v xml:space="preserve">   ZZ_Total_Produit_SH6</v>
      </c>
      <c r="C201">
        <v>26777946124</v>
      </c>
      <c r="D201">
        <v>121181809.5</v>
      </c>
    </row>
    <row r="202" spans="1:4" x14ac:dyDescent="0.25">
      <c r="A202" t="str">
        <f>T("   030223")</f>
        <v xml:space="preserve">   030223</v>
      </c>
      <c r="B202" t="str">
        <f>T("   Soles [Solea spp.], fraîches ou réfrigérées")</f>
        <v xml:space="preserve">   Soles [Solea spp.], fraîches ou réfrigérées</v>
      </c>
      <c r="C202">
        <v>1110000</v>
      </c>
      <c r="D202">
        <v>740</v>
      </c>
    </row>
    <row r="203" spans="1:4" x14ac:dyDescent="0.25">
      <c r="A203" t="str">
        <f>T("   030621")</f>
        <v xml:space="preserve">   030621</v>
      </c>
      <c r="B203" t="str">
        <f>T("   Langoustes [Palinurus spp., Panulirus spp., Jasus spp.], même décortiquées, vivantes, fraîches, réfrigérées, séchées, salées ou en saumure, y.c. les langoustes non décortiquées préalablement cuites à l'eau ou à la vapeur")</f>
        <v xml:space="preserve">   Langoustes [Palinurus spp., Panulirus spp., Jasus spp.], même décortiquées, vivantes, fraîches, réfrigérées, séchées, salées ou en saumure, y.c. les langoustes non décortiquées préalablement cuites à l'eau ou à la vapeur</v>
      </c>
      <c r="C203">
        <v>3965000</v>
      </c>
      <c r="D203">
        <v>1810</v>
      </c>
    </row>
    <row r="204" spans="1:4" x14ac:dyDescent="0.25">
      <c r="A204" t="str">
        <f>T("   030623")</f>
        <v xml:space="preserve">   030623</v>
      </c>
      <c r="B204" t="str">
        <f>T("   CREVETTES, MÊME DÉCORTIQUÉES, VIVANTES, FRAÎCHES, RÉFRIGÉRÉES, SÉCHÉES, SALÉES OU EN SAUMURE, Y.C. LES CREVETTES NON-DÉCORTIQUÉES PRÉALABLEMENT CUITES À L'EAU OU À LA VAPEUR")</f>
        <v xml:space="preserve">   CREVETTES, MÊME DÉCORTIQUÉES, VIVANTES, FRAÎCHES, RÉFRIGÉRÉES, SÉCHÉES, SALÉES OU EN SAUMURE, Y.C. LES CREVETTES NON-DÉCORTIQUÉES PRÉALABLEMENT CUITES À L'EAU OU À LA VAPEUR</v>
      </c>
      <c r="C204">
        <v>56723000</v>
      </c>
      <c r="D204">
        <v>19358.5</v>
      </c>
    </row>
    <row r="205" spans="1:4" x14ac:dyDescent="0.25">
      <c r="A205" t="str">
        <f>T("   030624")</f>
        <v xml:space="preserve">   030624</v>
      </c>
      <c r="B205" t="str">
        <f>T("   CRABES, MÊME DÉCORTIQUÉS, VIVANTS, FRAIS, RÉFRIGÉRÉS, SÉCHÉS, SALÉS OU EN SAUMURE, Y.C. LES CRABES NON-DÉCORTIQUÉS PRÉALABLEMENT CUITS À L'EAU OU À LA VAPEUR")</f>
        <v xml:space="preserve">   CRABES, MÊME DÉCORTIQUÉS, VIVANTS, FRAIS, RÉFRIGÉRÉS, SÉCHÉS, SALÉS OU EN SAUMURE, Y.C. LES CRABES NON-DÉCORTIQUÉS PRÉALABLEMENT CUITS À L'EAU OU À LA VAPEUR</v>
      </c>
      <c r="C205">
        <v>1072000</v>
      </c>
      <c r="D205">
        <v>2320</v>
      </c>
    </row>
    <row r="206" spans="1:4" x14ac:dyDescent="0.25">
      <c r="A206" t="str">
        <f>T("   080121")</f>
        <v xml:space="preserve">   080121</v>
      </c>
      <c r="B206" t="str">
        <f>T("   Noix du Brésil, fraîches ou sèches, en coques")</f>
        <v xml:space="preserve">   Noix du Brésil, fraîches ou sèches, en coques</v>
      </c>
      <c r="C206">
        <v>21189916</v>
      </c>
      <c r="D206">
        <v>101360</v>
      </c>
    </row>
    <row r="207" spans="1:4" x14ac:dyDescent="0.25">
      <c r="A207" t="str">
        <f>T("   080131")</f>
        <v xml:space="preserve">   080131</v>
      </c>
      <c r="B207" t="str">
        <f>T("   Noix de cajou, fraîches ou sèches, en coques")</f>
        <v xml:space="preserve">   Noix de cajou, fraîches ou sèches, en coques</v>
      </c>
      <c r="C207">
        <v>38350000</v>
      </c>
      <c r="D207">
        <v>200000</v>
      </c>
    </row>
    <row r="208" spans="1:4" x14ac:dyDescent="0.25">
      <c r="A208" t="str">
        <f>T("   120710")</f>
        <v xml:space="preserve">   120710</v>
      </c>
      <c r="B208" t="str">
        <f>T("   NOIX ET AMANDES DE PALMISTES")</f>
        <v xml:space="preserve">   NOIX ET AMANDES DE PALMISTES</v>
      </c>
      <c r="C208">
        <v>1800000</v>
      </c>
      <c r="D208">
        <v>12000</v>
      </c>
    </row>
    <row r="209" spans="1:4" x14ac:dyDescent="0.25">
      <c r="A209" t="str">
        <f>T("   120740")</f>
        <v xml:space="preserve">   120740</v>
      </c>
      <c r="B209" t="str">
        <f>T("   Graines de sésame, même concassées")</f>
        <v xml:space="preserve">   Graines de sésame, même concassées</v>
      </c>
      <c r="C209">
        <v>125172116</v>
      </c>
      <c r="D209">
        <v>226654</v>
      </c>
    </row>
    <row r="210" spans="1:4" x14ac:dyDescent="0.25">
      <c r="A210" t="str">
        <f>T("   140420")</f>
        <v xml:space="preserve">   140420</v>
      </c>
      <c r="B210" t="str">
        <f>T("   Linters de coton")</f>
        <v xml:space="preserve">   Linters de coton</v>
      </c>
      <c r="C210">
        <v>508740253</v>
      </c>
      <c r="D210">
        <v>923493</v>
      </c>
    </row>
    <row r="211" spans="1:4" x14ac:dyDescent="0.25">
      <c r="A211" t="str">
        <f>T("   392321")</f>
        <v xml:space="preserve">   392321</v>
      </c>
      <c r="B211" t="str">
        <f>T("   Sacs, sachets, pochettes et cornets, en polymères de l'éthylène")</f>
        <v xml:space="preserve">   Sacs, sachets, pochettes et cornets, en polymères de l'éthylène</v>
      </c>
      <c r="C211">
        <v>59873460</v>
      </c>
      <c r="D211">
        <v>41437</v>
      </c>
    </row>
    <row r="212" spans="1:4" x14ac:dyDescent="0.25">
      <c r="A212" t="str">
        <f>T("   410530")</f>
        <v xml:space="preserve">   410530</v>
      </c>
      <c r="B212" t="str">
        <f>T("   PEAUX D'OVINS, À L'ÉTAT SEC [EN CROÛTE], ÉPILÉES, MÊME REFENDUES (SAUF AUTREMENT PRÉPARÉÉS AINSI QUE SIMPL. PRÉTANNÉES)")</f>
        <v xml:space="preserve">   PEAUX D'OVINS, À L'ÉTAT SEC [EN CROÛTE], ÉPILÉES, MÊME REFENDUES (SAUF AUTREMENT PRÉPARÉÉS AINSI QUE SIMPL. PRÉTANNÉES)</v>
      </c>
      <c r="C212">
        <v>22645000</v>
      </c>
      <c r="D212">
        <v>15609</v>
      </c>
    </row>
    <row r="213" spans="1:4" x14ac:dyDescent="0.25">
      <c r="A213" t="str">
        <f>T("   440110")</f>
        <v xml:space="preserve">   440110</v>
      </c>
      <c r="B213" t="str">
        <f>T("   BOIS DE CHAUFFAGE EN RONDINS, B¹CHES, RAMILLES, FAGOTS OU SOUS FORMES SIMIL.")</f>
        <v xml:space="preserve">   BOIS DE CHAUFFAGE EN RONDINS, B¹CHES, RAMILLES, FAGOTS OU SOUS FORMES SIMIL.</v>
      </c>
      <c r="C213">
        <v>13000000</v>
      </c>
      <c r="D213">
        <v>130000</v>
      </c>
    </row>
    <row r="214" spans="1:4" x14ac:dyDescent="0.25">
      <c r="A214" t="str">
        <f>T("   440121")</f>
        <v xml:space="preserve">   440121</v>
      </c>
      <c r="B214" t="str">
        <f>T("   Bois de conifères, en plaquettes ou en particules (à l'excl. des bois des espèces utilisées principalement pour la teinture ou le tannage)")</f>
        <v xml:space="preserve">   Bois de conifères, en plaquettes ou en particules (à l'excl. des bois des espèces utilisées principalement pour la teinture ou le tannage)</v>
      </c>
      <c r="C214">
        <v>6120000</v>
      </c>
      <c r="D214">
        <v>40000</v>
      </c>
    </row>
    <row r="215" spans="1:4" x14ac:dyDescent="0.25">
      <c r="A215" t="str">
        <f>T("   440320")</f>
        <v xml:space="preserve">   440320</v>
      </c>
      <c r="B215" t="s">
        <v>42</v>
      </c>
      <c r="C215">
        <v>59865919</v>
      </c>
      <c r="D215">
        <v>440000</v>
      </c>
    </row>
    <row r="216" spans="1:4" x14ac:dyDescent="0.25">
      <c r="A216" t="str">
        <f>T("   440349")</f>
        <v xml:space="preserve">   440349</v>
      </c>
      <c r="B216" t="s">
        <v>43</v>
      </c>
      <c r="C216">
        <v>6489300</v>
      </c>
      <c r="D216">
        <v>30000</v>
      </c>
    </row>
    <row r="217" spans="1:4" x14ac:dyDescent="0.25">
      <c r="A217" t="str">
        <f>T("   440399")</f>
        <v xml:space="preserve">   440399</v>
      </c>
      <c r="B217" t="s">
        <v>44</v>
      </c>
      <c r="C217">
        <v>109870500</v>
      </c>
      <c r="D217">
        <v>9300859</v>
      </c>
    </row>
    <row r="218" spans="1:4" x14ac:dyDescent="0.25">
      <c r="A218" t="str">
        <f>T("   440420")</f>
        <v xml:space="preserve">   440420</v>
      </c>
      <c r="B218" t="s">
        <v>46</v>
      </c>
      <c r="C218">
        <v>134098878</v>
      </c>
      <c r="D218">
        <v>616000</v>
      </c>
    </row>
    <row r="219" spans="1:4" x14ac:dyDescent="0.25">
      <c r="A219" t="str">
        <f>T("   440500")</f>
        <v xml:space="preserve">   440500</v>
      </c>
      <c r="B219"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19">
        <v>95850000</v>
      </c>
      <c r="D219">
        <v>2512000</v>
      </c>
    </row>
    <row r="220" spans="1:4" x14ac:dyDescent="0.25">
      <c r="A220" t="str">
        <f>T("   440729")</f>
        <v xml:space="preserve">   440729</v>
      </c>
      <c r="B220" t="s">
        <v>47</v>
      </c>
      <c r="C220">
        <v>138428743</v>
      </c>
      <c r="D220">
        <v>18334000</v>
      </c>
    </row>
    <row r="221" spans="1:4" x14ac:dyDescent="0.25">
      <c r="A221" t="str">
        <f>T("   440799")</f>
        <v xml:space="preserve">   440799</v>
      </c>
      <c r="B221" t="s">
        <v>48</v>
      </c>
      <c r="C221">
        <v>440356300</v>
      </c>
      <c r="D221">
        <v>17107000</v>
      </c>
    </row>
    <row r="222" spans="1:4" x14ac:dyDescent="0.25">
      <c r="A222" t="str">
        <f>T("   440920")</f>
        <v xml:space="preserve">   440920</v>
      </c>
      <c r="B222" t="s">
        <v>50</v>
      </c>
      <c r="C222">
        <v>25440233</v>
      </c>
      <c r="D222">
        <v>333113</v>
      </c>
    </row>
    <row r="223" spans="1:4" x14ac:dyDescent="0.25">
      <c r="A223" t="str">
        <f>T("   482390")</f>
        <v xml:space="preserve">   482390</v>
      </c>
      <c r="B223" t="s">
        <v>51</v>
      </c>
      <c r="C223">
        <v>3000000</v>
      </c>
      <c r="D223">
        <v>30000</v>
      </c>
    </row>
    <row r="224" spans="1:4" x14ac:dyDescent="0.25">
      <c r="A224" t="str">
        <f>T("   490110")</f>
        <v xml:space="preserve">   490110</v>
      </c>
      <c r="B224" t="str">
        <f>T("   Livres, brochures et imprimés simil., en feuillets isolés, même pliés (à l'excl. des publications périodiques et des publications à usages principalement publicitaires)")</f>
        <v xml:space="preserve">   Livres, brochures et imprimés simil., en feuillets isolés, même pliés (à l'excl. des publications périodiques et des publications à usages principalement publicitaires)</v>
      </c>
      <c r="C224">
        <v>4000000</v>
      </c>
      <c r="D224">
        <v>40000</v>
      </c>
    </row>
    <row r="225" spans="1:4" x14ac:dyDescent="0.25">
      <c r="A225" t="str">
        <f>T("   520100")</f>
        <v xml:space="preserve">   520100</v>
      </c>
      <c r="B225" t="str">
        <f>T("   COTON, NON-CARDÉ NI PEIGNÉ")</f>
        <v xml:space="preserve">   COTON, NON-CARDÉ NI PEIGNÉ</v>
      </c>
      <c r="C225">
        <v>19921715691</v>
      </c>
      <c r="D225">
        <v>26056351</v>
      </c>
    </row>
    <row r="226" spans="1:4" x14ac:dyDescent="0.25">
      <c r="A226" t="str">
        <f>T("   520299")</f>
        <v xml:space="preserve">   520299</v>
      </c>
      <c r="B226" t="str">
        <f>T("   Déchets de coton (à l'excl. des déchets de fils et des effilochés)")</f>
        <v xml:space="preserve">   Déchets de coton (à l'excl. des déchets de fils et des effilochés)</v>
      </c>
      <c r="C226">
        <v>140385383</v>
      </c>
      <c r="D226">
        <v>360678</v>
      </c>
    </row>
    <row r="227" spans="1:4" x14ac:dyDescent="0.25">
      <c r="A227" t="str">
        <f>T("   520300")</f>
        <v xml:space="preserve">   520300</v>
      </c>
      <c r="B227" t="str">
        <f>T("   Coton, cardé ou peigné")</f>
        <v xml:space="preserve">   Coton, cardé ou peigné</v>
      </c>
      <c r="C227">
        <v>134022195</v>
      </c>
      <c r="D227">
        <v>268838</v>
      </c>
    </row>
    <row r="228" spans="1:4" x14ac:dyDescent="0.25">
      <c r="A228" t="str">
        <f>T("   520512")</f>
        <v xml:space="preserve">   520512</v>
      </c>
      <c r="B228" t="s">
        <v>53</v>
      </c>
      <c r="C228">
        <v>812740869</v>
      </c>
      <c r="D228">
        <v>320800</v>
      </c>
    </row>
    <row r="229" spans="1:4" x14ac:dyDescent="0.25">
      <c r="A229" t="str">
        <f>T("   720429")</f>
        <v xml:space="preserve">   720429</v>
      </c>
      <c r="B229"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29">
        <v>205750000</v>
      </c>
      <c r="D229">
        <v>4475000</v>
      </c>
    </row>
    <row r="230" spans="1:4" x14ac:dyDescent="0.25">
      <c r="A230" t="str">
        <f>T("   720430")</f>
        <v xml:space="preserve">   720430</v>
      </c>
      <c r="B230"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30">
        <v>16687500</v>
      </c>
      <c r="D230">
        <v>447750</v>
      </c>
    </row>
    <row r="231" spans="1:4" x14ac:dyDescent="0.25">
      <c r="A231" t="str">
        <f>T("   720449")</f>
        <v xml:space="preserve">   720449</v>
      </c>
      <c r="B231" t="s">
        <v>64</v>
      </c>
      <c r="C231">
        <v>1872044500</v>
      </c>
      <c r="D231">
        <v>37767470</v>
      </c>
    </row>
    <row r="232" spans="1:4" x14ac:dyDescent="0.25">
      <c r="A232" t="str">
        <f>T("   721391")</f>
        <v xml:space="preserve">   721391</v>
      </c>
      <c r="B23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232">
        <v>95805662</v>
      </c>
      <c r="D232">
        <v>147524</v>
      </c>
    </row>
    <row r="233" spans="1:4" x14ac:dyDescent="0.25">
      <c r="A233" t="str">
        <f>T("   721420")</f>
        <v xml:space="preserve">   721420</v>
      </c>
      <c r="B233"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233">
        <v>52879215</v>
      </c>
      <c r="D233">
        <v>74327</v>
      </c>
    </row>
    <row r="234" spans="1:4" x14ac:dyDescent="0.25">
      <c r="A234" t="str">
        <f>T("   721730")</f>
        <v xml:space="preserve">   721730</v>
      </c>
      <c r="B234"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234">
        <v>25087188</v>
      </c>
      <c r="D234">
        <v>60479</v>
      </c>
    </row>
    <row r="235" spans="1:4" x14ac:dyDescent="0.25">
      <c r="A235" t="str">
        <f>T("   721790")</f>
        <v xml:space="preserve">   721790</v>
      </c>
      <c r="B235"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35">
        <v>16210417</v>
      </c>
      <c r="D235">
        <v>35106</v>
      </c>
    </row>
    <row r="236" spans="1:4" x14ac:dyDescent="0.25">
      <c r="A236" t="str">
        <f>T("   732620")</f>
        <v xml:space="preserve">   732620</v>
      </c>
      <c r="B236" t="str">
        <f>T("   Ouvrages en fil de fer ou d'acier, n.d.a.")</f>
        <v xml:space="preserve">   Ouvrages en fil de fer ou d'acier, n.d.a.</v>
      </c>
      <c r="C236">
        <v>60153185</v>
      </c>
      <c r="D236">
        <v>96913</v>
      </c>
    </row>
    <row r="237" spans="1:4" x14ac:dyDescent="0.25">
      <c r="A237" t="str">
        <f>T("   760200")</f>
        <v xml:space="preserve">   760200</v>
      </c>
      <c r="B237" t="s">
        <v>74</v>
      </c>
      <c r="C237">
        <v>17000000</v>
      </c>
      <c r="D237">
        <v>340000</v>
      </c>
    </row>
    <row r="238" spans="1:4" x14ac:dyDescent="0.25">
      <c r="A238" t="str">
        <f>T("   842959")</f>
        <v xml:space="preserve">   842959</v>
      </c>
      <c r="B23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38">
        <v>405340538</v>
      </c>
      <c r="D238">
        <v>119800</v>
      </c>
    </row>
    <row r="239" spans="1:4" x14ac:dyDescent="0.25">
      <c r="A239" t="str">
        <f>T("   850239")</f>
        <v xml:space="preserve">   850239</v>
      </c>
      <c r="B239" t="str">
        <f>T("   Groupes électrogènes (autres qu'à énergie éolienne et à moteurs à piston)")</f>
        <v xml:space="preserve">   Groupes électrogènes (autres qu'à énergie éolienne et à moteurs à piston)</v>
      </c>
      <c r="C239">
        <v>991599435</v>
      </c>
      <c r="D239">
        <v>142380</v>
      </c>
    </row>
    <row r="240" spans="1:4" x14ac:dyDescent="0.25">
      <c r="A240" t="str">
        <f>T("   851529")</f>
        <v xml:space="preserve">   851529</v>
      </c>
      <c r="B240" t="str">
        <f>T("   MACHINES ET APPAREILS POUR LE SOUDAGE DES MÉTAUX PAR RÉSISTANCE, NON-AUTOMATIQUES")</f>
        <v xml:space="preserve">   MACHINES ET APPAREILS POUR LE SOUDAGE DES MÉTAUX PAR RÉSISTANCE, NON-AUTOMATIQUES</v>
      </c>
      <c r="C240">
        <v>133363728</v>
      </c>
      <c r="D240">
        <v>10640</v>
      </c>
    </row>
    <row r="241" spans="1:4" x14ac:dyDescent="0.25">
      <c r="A241" t="str">
        <f>T("CO")</f>
        <v>CO</v>
      </c>
      <c r="B241" t="str">
        <f>T("Colombie")</f>
        <v>Colombie</v>
      </c>
    </row>
    <row r="242" spans="1:4" x14ac:dyDescent="0.25">
      <c r="A242" t="str">
        <f>T("   ZZ_Total_Produit_SH6")</f>
        <v xml:space="preserve">   ZZ_Total_Produit_SH6</v>
      </c>
      <c r="B242" t="str">
        <f>T("   ZZ_Total_Produit_SH6")</f>
        <v xml:space="preserve">   ZZ_Total_Produit_SH6</v>
      </c>
      <c r="C242">
        <v>19879901</v>
      </c>
      <c r="D242">
        <v>59</v>
      </c>
    </row>
    <row r="243" spans="1:4" x14ac:dyDescent="0.25">
      <c r="A243" t="str">
        <f>T("   120710")</f>
        <v xml:space="preserve">   120710</v>
      </c>
      <c r="B243" t="str">
        <f>T("   NOIX ET AMANDES DE PALMISTES")</f>
        <v xml:space="preserve">   NOIX ET AMANDES DE PALMISTES</v>
      </c>
      <c r="C243">
        <v>19879901</v>
      </c>
      <c r="D243">
        <v>59</v>
      </c>
    </row>
    <row r="244" spans="1:4" x14ac:dyDescent="0.25">
      <c r="A244" t="str">
        <f>T("DE")</f>
        <v>DE</v>
      </c>
      <c r="B244" t="str">
        <f>T("Allemagne")</f>
        <v>Allemagne</v>
      </c>
    </row>
    <row r="245" spans="1:4" x14ac:dyDescent="0.25">
      <c r="A245" t="str">
        <f>T("   ZZ_Total_Produit_SH6")</f>
        <v xml:space="preserve">   ZZ_Total_Produit_SH6</v>
      </c>
      <c r="B245" t="str">
        <f>T("   ZZ_Total_Produit_SH6")</f>
        <v xml:space="preserve">   ZZ_Total_Produit_SH6</v>
      </c>
      <c r="C245">
        <v>1134587205</v>
      </c>
      <c r="D245">
        <v>1844593</v>
      </c>
    </row>
    <row r="246" spans="1:4" x14ac:dyDescent="0.25">
      <c r="A246" t="str">
        <f>T("   080211")</f>
        <v xml:space="preserve">   080211</v>
      </c>
      <c r="B246" t="str">
        <f>T("   Amandes, fraîches ou sèches, en coques")</f>
        <v xml:space="preserve">   Amandes, fraîches ou sèches, en coques</v>
      </c>
      <c r="C246">
        <v>57396500</v>
      </c>
      <c r="D246">
        <v>350000</v>
      </c>
    </row>
    <row r="247" spans="1:4" x14ac:dyDescent="0.25">
      <c r="A247" t="str">
        <f>T("   151790")</f>
        <v xml:space="preserve">   151790</v>
      </c>
      <c r="B247" t="s">
        <v>18</v>
      </c>
      <c r="C247">
        <v>45566052</v>
      </c>
      <c r="D247">
        <v>105620</v>
      </c>
    </row>
    <row r="248" spans="1:4" x14ac:dyDescent="0.25">
      <c r="A248" t="str">
        <f>T("   440200")</f>
        <v xml:space="preserve">   440200</v>
      </c>
      <c r="B248" t="str">
        <f>T("   Charbon de bois - y.c. le charbon de coques ou de noix -, même aggloméré (à l'excl. des fusains et du charbon de bois conditionné comme médicament, mélangé d'encens ou activé)")</f>
        <v xml:space="preserve">   Charbon de bois - y.c. le charbon de coques ou de noix -, même aggloméré (à l'excl. des fusains et du charbon de bois conditionné comme médicament, mélangé d'encens ou activé)</v>
      </c>
      <c r="C248">
        <v>1017000</v>
      </c>
      <c r="D248">
        <v>33900</v>
      </c>
    </row>
    <row r="249" spans="1:4" x14ac:dyDescent="0.25">
      <c r="A249" t="str">
        <f>T("   440500")</f>
        <v xml:space="preserve">   440500</v>
      </c>
      <c r="B249"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49">
        <v>4132530</v>
      </c>
      <c r="D249">
        <v>30000</v>
      </c>
    </row>
    <row r="250" spans="1:4" x14ac:dyDescent="0.25">
      <c r="A250" t="str">
        <f>T("   440729")</f>
        <v xml:space="preserve">   440729</v>
      </c>
      <c r="B250" t="s">
        <v>47</v>
      </c>
      <c r="C250">
        <v>54569978</v>
      </c>
      <c r="D250">
        <v>28320</v>
      </c>
    </row>
    <row r="251" spans="1:4" x14ac:dyDescent="0.25">
      <c r="A251" t="str">
        <f>T("   520100")</f>
        <v xml:space="preserve">   520100</v>
      </c>
      <c r="B251" t="str">
        <f>T("   COTON, NON-CARDÉ NI PEIGNÉ")</f>
        <v xml:space="preserve">   COTON, NON-CARDÉ NI PEIGNÉ</v>
      </c>
      <c r="C251">
        <v>929290464</v>
      </c>
      <c r="D251">
        <v>1245460</v>
      </c>
    </row>
    <row r="252" spans="1:4" x14ac:dyDescent="0.25">
      <c r="A252" t="str">
        <f>T("   620590")</f>
        <v xml:space="preserve">   620590</v>
      </c>
      <c r="B25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52">
        <v>1900000</v>
      </c>
      <c r="D252">
        <v>2600</v>
      </c>
    </row>
    <row r="253" spans="1:4" x14ac:dyDescent="0.25">
      <c r="A253" t="str">
        <f>T("   680430")</f>
        <v xml:space="preserve">   680430</v>
      </c>
      <c r="B253" t="str">
        <f>T("   Pierres à aiguiser ou à polir à la main")</f>
        <v xml:space="preserve">   Pierres à aiguiser ou à polir à la main</v>
      </c>
      <c r="C253">
        <v>525000</v>
      </c>
      <c r="D253">
        <v>11068</v>
      </c>
    </row>
    <row r="254" spans="1:4" x14ac:dyDescent="0.25">
      <c r="A254" t="str">
        <f>T("   732394")</f>
        <v xml:space="preserve">   732394</v>
      </c>
      <c r="B254" t="s">
        <v>72</v>
      </c>
      <c r="C254">
        <v>2000000</v>
      </c>
      <c r="D254">
        <v>2200</v>
      </c>
    </row>
    <row r="255" spans="1:4" x14ac:dyDescent="0.25">
      <c r="A255" t="str">
        <f>T("   841391")</f>
        <v xml:space="preserve">   841391</v>
      </c>
      <c r="B255" t="str">
        <f>T("   Parties de pompes pour liquides, n.d.a.")</f>
        <v xml:space="preserve">   Parties de pompes pour liquides, n.d.a.</v>
      </c>
      <c r="C255">
        <v>1193842</v>
      </c>
      <c r="D255">
        <v>810</v>
      </c>
    </row>
    <row r="256" spans="1:4" x14ac:dyDescent="0.25">
      <c r="A256" t="str">
        <f>T("   843149")</f>
        <v xml:space="preserve">   843149</v>
      </c>
      <c r="B256" t="str">
        <f>T("   Parties de machines et appareils du n° 8426, 8429 ou 8430, n.d.a.")</f>
        <v xml:space="preserve">   Parties de machines et appareils du n° 8426, 8429 ou 8430, n.d.a.</v>
      </c>
      <c r="C256">
        <v>16620059</v>
      </c>
      <c r="D256">
        <v>1815</v>
      </c>
    </row>
    <row r="257" spans="1:4" x14ac:dyDescent="0.25">
      <c r="A257" t="str">
        <f>T("   850680")</f>
        <v xml:space="preserve">   850680</v>
      </c>
      <c r="B257" t="str">
        <f>T("   Piles et batteries de piles électriques (sauf hors d'usage et autres que piles et batteries à l'oxyde d'argent, de mercure, au bioxyde de manganèse, au lithium et à l'air-zinc)")</f>
        <v xml:space="preserve">   Piles et batteries de piles électriques (sauf hors d'usage et autres que piles et batteries à l'oxyde d'argent, de mercure, au bioxyde de manganèse, au lithium et à l'air-zinc)</v>
      </c>
      <c r="C257">
        <v>6000000</v>
      </c>
      <c r="D257">
        <v>26000</v>
      </c>
    </row>
    <row r="258" spans="1:4" x14ac:dyDescent="0.25">
      <c r="A258" t="str">
        <f>T("   870323")</f>
        <v xml:space="preserve">   870323</v>
      </c>
      <c r="B258" t="s">
        <v>98</v>
      </c>
      <c r="C258">
        <v>10275780</v>
      </c>
      <c r="D258">
        <v>1600</v>
      </c>
    </row>
    <row r="259" spans="1:4" x14ac:dyDescent="0.25">
      <c r="A259" t="str">
        <f>T("   940350")</f>
        <v xml:space="preserve">   940350</v>
      </c>
      <c r="B259" t="str">
        <f>T("   Meubles pour chambres à coucher, en bois (sauf sièges)")</f>
        <v xml:space="preserve">   Meubles pour chambres à coucher, en bois (sauf sièges)</v>
      </c>
      <c r="C259">
        <v>4100000</v>
      </c>
      <c r="D259">
        <v>5200</v>
      </c>
    </row>
    <row r="260" spans="1:4" x14ac:dyDescent="0.25">
      <c r="A260" t="str">
        <f>T("DJ")</f>
        <v>DJ</v>
      </c>
      <c r="B260" t="str">
        <f>T("Djibouti")</f>
        <v>Djibouti</v>
      </c>
    </row>
    <row r="261" spans="1:4" x14ac:dyDescent="0.25">
      <c r="A261" t="str">
        <f>T("   ZZ_Total_Produit_SH6")</f>
        <v xml:space="preserve">   ZZ_Total_Produit_SH6</v>
      </c>
      <c r="B261" t="str">
        <f>T("   ZZ_Total_Produit_SH6")</f>
        <v xml:space="preserve">   ZZ_Total_Produit_SH6</v>
      </c>
      <c r="C261">
        <v>400000</v>
      </c>
      <c r="D261">
        <v>10000</v>
      </c>
    </row>
    <row r="262" spans="1:4" x14ac:dyDescent="0.25">
      <c r="A262" t="str">
        <f>T("   940380")</f>
        <v xml:space="preserve">   940380</v>
      </c>
      <c r="B262" t="str">
        <f>T("   Meubles en rotin, osier, bambou ou autres matières (sauf métal, bois et matières plastiques)")</f>
        <v xml:space="preserve">   Meubles en rotin, osier, bambou ou autres matières (sauf métal, bois et matières plastiques)</v>
      </c>
      <c r="C262">
        <v>400000</v>
      </c>
      <c r="D262">
        <v>10000</v>
      </c>
    </row>
    <row r="263" spans="1:4" x14ac:dyDescent="0.25">
      <c r="A263" t="str">
        <f>T("DK")</f>
        <v>DK</v>
      </c>
      <c r="B263" t="str">
        <f>T("Danemark")</f>
        <v>Danemark</v>
      </c>
    </row>
    <row r="264" spans="1:4" x14ac:dyDescent="0.25">
      <c r="A264" t="str">
        <f>T("   ZZ_Total_Produit_SH6")</f>
        <v xml:space="preserve">   ZZ_Total_Produit_SH6</v>
      </c>
      <c r="B264" t="str">
        <f>T("   ZZ_Total_Produit_SH6")</f>
        <v xml:space="preserve">   ZZ_Total_Produit_SH6</v>
      </c>
      <c r="C264">
        <v>5434212790</v>
      </c>
      <c r="D264">
        <v>27175500</v>
      </c>
    </row>
    <row r="265" spans="1:4" x14ac:dyDescent="0.25">
      <c r="A265" t="str">
        <f>T("   080211")</f>
        <v xml:space="preserve">   080211</v>
      </c>
      <c r="B265" t="str">
        <f>T("   Amandes, fraîches ou sèches, en coques")</f>
        <v xml:space="preserve">   Amandes, fraîches ou sèches, en coques</v>
      </c>
      <c r="C265">
        <v>5431512790</v>
      </c>
      <c r="D265">
        <v>27170000</v>
      </c>
    </row>
    <row r="266" spans="1:4" x14ac:dyDescent="0.25">
      <c r="A266" t="str">
        <f>T("   620590")</f>
        <v xml:space="preserve">   620590</v>
      </c>
      <c r="B26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66">
        <v>900000</v>
      </c>
      <c r="D266">
        <v>600</v>
      </c>
    </row>
    <row r="267" spans="1:4" x14ac:dyDescent="0.25">
      <c r="A267" t="str">
        <f>T("   732394")</f>
        <v xml:space="preserve">   732394</v>
      </c>
      <c r="B267" t="s">
        <v>72</v>
      </c>
      <c r="C267">
        <v>600000</v>
      </c>
      <c r="D267">
        <v>400</v>
      </c>
    </row>
    <row r="268" spans="1:4" x14ac:dyDescent="0.25">
      <c r="A268" t="str">
        <f>T("   732619")</f>
        <v xml:space="preserve">   732619</v>
      </c>
      <c r="B268"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268">
        <v>1200000</v>
      </c>
      <c r="D268">
        <v>4500</v>
      </c>
    </row>
    <row r="269" spans="1:4" x14ac:dyDescent="0.25">
      <c r="A269" t="str">
        <f>T("DZ")</f>
        <v>DZ</v>
      </c>
      <c r="B269" t="str">
        <f>T("Algérie")</f>
        <v>Algérie</v>
      </c>
    </row>
    <row r="270" spans="1:4" x14ac:dyDescent="0.25">
      <c r="A270" t="str">
        <f>T("   ZZ_Total_Produit_SH6")</f>
        <v xml:space="preserve">   ZZ_Total_Produit_SH6</v>
      </c>
      <c r="B270" t="str">
        <f>T("   ZZ_Total_Produit_SH6")</f>
        <v xml:space="preserve">   ZZ_Total_Produit_SH6</v>
      </c>
      <c r="C270">
        <v>1500000</v>
      </c>
      <c r="D270">
        <v>1700</v>
      </c>
    </row>
    <row r="271" spans="1:4" x14ac:dyDescent="0.25">
      <c r="A271" t="str">
        <f>T("   620590")</f>
        <v xml:space="preserve">   620590</v>
      </c>
      <c r="B27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71">
        <v>500000</v>
      </c>
      <c r="D271">
        <v>600</v>
      </c>
    </row>
    <row r="272" spans="1:4" x14ac:dyDescent="0.25">
      <c r="A272" t="str">
        <f>T("   732394")</f>
        <v xml:space="preserve">   732394</v>
      </c>
      <c r="B272" t="s">
        <v>72</v>
      </c>
      <c r="C272">
        <v>300000</v>
      </c>
      <c r="D272">
        <v>300</v>
      </c>
    </row>
    <row r="273" spans="1:4" x14ac:dyDescent="0.25">
      <c r="A273" t="str">
        <f>T("   940350")</f>
        <v xml:space="preserve">   940350</v>
      </c>
      <c r="B273" t="str">
        <f>T("   Meubles pour chambres à coucher, en bois (sauf sièges)")</f>
        <v xml:space="preserve">   Meubles pour chambres à coucher, en bois (sauf sièges)</v>
      </c>
      <c r="C273">
        <v>700000</v>
      </c>
      <c r="D273">
        <v>800</v>
      </c>
    </row>
    <row r="274" spans="1:4" x14ac:dyDescent="0.25">
      <c r="A274" t="str">
        <f>T("EC")</f>
        <v>EC</v>
      </c>
      <c r="B274" t="str">
        <f>T("Equateur")</f>
        <v>Equateur</v>
      </c>
    </row>
    <row r="275" spans="1:4" x14ac:dyDescent="0.25">
      <c r="A275" t="str">
        <f>T("   ZZ_Total_Produit_SH6")</f>
        <v xml:space="preserve">   ZZ_Total_Produit_SH6</v>
      </c>
      <c r="B275" t="str">
        <f>T("   ZZ_Total_Produit_SH6")</f>
        <v xml:space="preserve">   ZZ_Total_Produit_SH6</v>
      </c>
      <c r="C275">
        <v>60000</v>
      </c>
      <c r="D275">
        <v>254</v>
      </c>
    </row>
    <row r="276" spans="1:4" x14ac:dyDescent="0.25">
      <c r="A276" t="str">
        <f>T("   120710")</f>
        <v xml:space="preserve">   120710</v>
      </c>
      <c r="B276" t="str">
        <f>T("   NOIX ET AMANDES DE PALMISTES")</f>
        <v xml:space="preserve">   NOIX ET AMANDES DE PALMISTES</v>
      </c>
      <c r="C276">
        <v>60000</v>
      </c>
      <c r="D276">
        <v>254</v>
      </c>
    </row>
    <row r="277" spans="1:4" x14ac:dyDescent="0.25">
      <c r="A277" t="str">
        <f>T("EG")</f>
        <v>EG</v>
      </c>
      <c r="B277" t="str">
        <f>T("Egypte")</f>
        <v>Egypte</v>
      </c>
    </row>
    <row r="278" spans="1:4" x14ac:dyDescent="0.25">
      <c r="A278" t="str">
        <f>T("   ZZ_Total_Produit_SH6")</f>
        <v xml:space="preserve">   ZZ_Total_Produit_SH6</v>
      </c>
      <c r="B278" t="str">
        <f>T("   ZZ_Total_Produit_SH6")</f>
        <v xml:space="preserve">   ZZ_Total_Produit_SH6</v>
      </c>
      <c r="C278">
        <v>755198004</v>
      </c>
      <c r="D278">
        <v>980770</v>
      </c>
    </row>
    <row r="279" spans="1:4" x14ac:dyDescent="0.25">
      <c r="A279" t="str">
        <f>T("   520100")</f>
        <v xml:space="preserve">   520100</v>
      </c>
      <c r="B279" t="str">
        <f>T("   COTON, NON-CARDÉ NI PEIGNÉ")</f>
        <v xml:space="preserve">   COTON, NON-CARDÉ NI PEIGNÉ</v>
      </c>
      <c r="C279">
        <v>755198004</v>
      </c>
      <c r="D279">
        <v>980770</v>
      </c>
    </row>
    <row r="280" spans="1:4" x14ac:dyDescent="0.25">
      <c r="A280" t="str">
        <f>T("ES")</f>
        <v>ES</v>
      </c>
      <c r="B280" t="str">
        <f>T("Espagne")</f>
        <v>Espagne</v>
      </c>
    </row>
    <row r="281" spans="1:4" x14ac:dyDescent="0.25">
      <c r="A281" t="str">
        <f>T("   ZZ_Total_Produit_SH6")</f>
        <v xml:space="preserve">   ZZ_Total_Produit_SH6</v>
      </c>
      <c r="B281" t="str">
        <f>T("   ZZ_Total_Produit_SH6")</f>
        <v xml:space="preserve">   ZZ_Total_Produit_SH6</v>
      </c>
      <c r="C281">
        <v>2176705962</v>
      </c>
      <c r="D281">
        <v>6337059</v>
      </c>
    </row>
    <row r="282" spans="1:4" x14ac:dyDescent="0.25">
      <c r="A282" t="str">
        <f>T("   121299")</f>
        <v xml:space="preserve">   121299</v>
      </c>
      <c r="B282" t="str">
        <f>T("   NOYAUX ET AMANDES DE FRUITS ET AUTRES PRODUITS VÉGÉTAUX - Y.C. LES RACINES DE CHICORÉE NON-TORRÉFIÉES DE LA VARIÉTÉ 'CICHORIUM INTYBUS SATIVUM' -, SERVANT PRINCIPALEMENT À L'ALIMENTATION HUMAINE, N.D.A.")</f>
        <v xml:space="preserve">   NOYAUX ET AMANDES DE FRUITS ET AUTRES PRODUITS VÉGÉTAUX - Y.C. LES RACINES DE CHICORÉE NON-TORRÉFIÉES DE LA VARIÉTÉ 'CICHORIUM INTYBUS SATIVUM' -, SERVANT PRINCIPALEMENT À L'ALIMENTATION HUMAINE, N.D.A.</v>
      </c>
      <c r="C282">
        <v>47070000</v>
      </c>
      <c r="D282">
        <v>169300</v>
      </c>
    </row>
    <row r="283" spans="1:4" x14ac:dyDescent="0.25">
      <c r="A283" t="str">
        <f>T("   170191")</f>
        <v xml:space="preserve">   170191</v>
      </c>
      <c r="B283" t="str">
        <f>T("   Sucres de canne ou de betterave, à l'état solide, additionnés d'aromatisants ou de colorants")</f>
        <v xml:space="preserve">   Sucres de canne ou de betterave, à l'état solide, additionnés d'aromatisants ou de colorants</v>
      </c>
      <c r="C283">
        <v>2016098165</v>
      </c>
      <c r="D283">
        <v>5483573</v>
      </c>
    </row>
    <row r="284" spans="1:4" x14ac:dyDescent="0.25">
      <c r="A284" t="str">
        <f>T("   520299")</f>
        <v xml:space="preserve">   520299</v>
      </c>
      <c r="B284" t="str">
        <f>T("   Déchets de coton (à l'excl. des déchets de fils et des effilochés)")</f>
        <v xml:space="preserve">   Déchets de coton (à l'excl. des déchets de fils et des effilochés)</v>
      </c>
      <c r="C284">
        <v>79432173</v>
      </c>
      <c r="D284">
        <v>248066</v>
      </c>
    </row>
    <row r="285" spans="1:4" x14ac:dyDescent="0.25">
      <c r="A285" t="str">
        <f>T("   720429")</f>
        <v xml:space="preserve">   720429</v>
      </c>
      <c r="B285"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85">
        <v>750000</v>
      </c>
      <c r="D285">
        <v>15000</v>
      </c>
    </row>
    <row r="286" spans="1:4" x14ac:dyDescent="0.25">
      <c r="A286" t="str">
        <f>T("   720449")</f>
        <v xml:space="preserve">   720449</v>
      </c>
      <c r="B286" t="s">
        <v>64</v>
      </c>
      <c r="C286">
        <v>20250000</v>
      </c>
      <c r="D286">
        <v>405000</v>
      </c>
    </row>
    <row r="287" spans="1:4" x14ac:dyDescent="0.25">
      <c r="A287" t="str">
        <f>T("   870431")</f>
        <v xml:space="preserve">   870431</v>
      </c>
      <c r="B287" t="s">
        <v>105</v>
      </c>
      <c r="C287">
        <v>12925624</v>
      </c>
      <c r="D287">
        <v>16000</v>
      </c>
    </row>
    <row r="288" spans="1:4" x14ac:dyDescent="0.25">
      <c r="A288" t="str">
        <f>T("   871120")</f>
        <v xml:space="preserve">   871120</v>
      </c>
      <c r="B288" t="str">
        <f>T("   Motocycles à moteur à piston alternatif, cylindrée &gt; 50 cm³ mais &lt;= 250 cm³")</f>
        <v xml:space="preserve">   Motocycles à moteur à piston alternatif, cylindrée &gt; 50 cm³ mais &lt;= 250 cm³</v>
      </c>
      <c r="C288">
        <v>180000</v>
      </c>
      <c r="D288">
        <v>120</v>
      </c>
    </row>
    <row r="289" spans="1:4" x14ac:dyDescent="0.25">
      <c r="A289" t="str">
        <f>T("FR")</f>
        <v>FR</v>
      </c>
      <c r="B289" t="str">
        <f>T("France")</f>
        <v>France</v>
      </c>
    </row>
    <row r="290" spans="1:4" x14ac:dyDescent="0.25">
      <c r="A290" t="str">
        <f>T("   ZZ_Total_Produit_SH6")</f>
        <v xml:space="preserve">   ZZ_Total_Produit_SH6</v>
      </c>
      <c r="B290" t="str">
        <f>T("   ZZ_Total_Produit_SH6")</f>
        <v xml:space="preserve">   ZZ_Total_Produit_SH6</v>
      </c>
      <c r="C290">
        <v>1759384016</v>
      </c>
      <c r="D290">
        <v>1128634</v>
      </c>
    </row>
    <row r="291" spans="1:4" x14ac:dyDescent="0.25">
      <c r="A291" t="str">
        <f>T("   040510")</f>
        <v xml:space="preserve">   040510</v>
      </c>
      <c r="B291" t="str">
        <f>T("   Beurre (sauf beurre déshydraté et ghee)")</f>
        <v xml:space="preserve">   Beurre (sauf beurre déshydraté et ghee)</v>
      </c>
      <c r="C291">
        <v>120000</v>
      </c>
      <c r="D291">
        <v>21</v>
      </c>
    </row>
    <row r="292" spans="1:4" x14ac:dyDescent="0.25">
      <c r="A292" t="str">
        <f>T("   080430")</f>
        <v xml:space="preserve">   080430</v>
      </c>
      <c r="B292" t="str">
        <f>T("   Ananas, frais ou secs")</f>
        <v xml:space="preserve">   Ananas, frais ou secs</v>
      </c>
      <c r="C292">
        <v>1199745</v>
      </c>
      <c r="D292">
        <v>1875</v>
      </c>
    </row>
    <row r="293" spans="1:4" x14ac:dyDescent="0.25">
      <c r="A293" t="str">
        <f>T("   091010")</f>
        <v xml:space="preserve">   091010</v>
      </c>
      <c r="B293" t="str">
        <f>T("   Gingembre")</f>
        <v xml:space="preserve">   Gingembre</v>
      </c>
      <c r="C293">
        <v>800280</v>
      </c>
      <c r="D293">
        <v>8720</v>
      </c>
    </row>
    <row r="294" spans="1:4" x14ac:dyDescent="0.25">
      <c r="A294" t="str">
        <f>T("   110620")</f>
        <v xml:space="preserve">   110620</v>
      </c>
      <c r="B294" t="str">
        <f>T("   Farines, semoules et poudres de sagou ou des racines ou tubercules du n° 0714")</f>
        <v xml:space="preserve">   Farines, semoules et poudres de sagou ou des racines ou tubercules du n° 0714</v>
      </c>
      <c r="C294">
        <v>19754236</v>
      </c>
      <c r="D294">
        <v>21121</v>
      </c>
    </row>
    <row r="295" spans="1:4" x14ac:dyDescent="0.25">
      <c r="A295" t="str">
        <f>T("   120799")</f>
        <v xml:space="preserve">   120799</v>
      </c>
      <c r="B295" t="s">
        <v>16</v>
      </c>
      <c r="C295">
        <v>49795315</v>
      </c>
      <c r="D295">
        <v>159815</v>
      </c>
    </row>
    <row r="296" spans="1:4" x14ac:dyDescent="0.25">
      <c r="A296" t="str">
        <f>T("   130120")</f>
        <v xml:space="preserve">   130120</v>
      </c>
      <c r="B296" t="str">
        <f>T("   Gomme arabique")</f>
        <v xml:space="preserve">   Gomme arabique</v>
      </c>
      <c r="C296">
        <v>4700000</v>
      </c>
      <c r="D296">
        <v>22000</v>
      </c>
    </row>
    <row r="297" spans="1:4" x14ac:dyDescent="0.25">
      <c r="A297" t="str">
        <f>T("   151590")</f>
        <v xml:space="preserve">   151590</v>
      </c>
      <c r="B297" t="s">
        <v>17</v>
      </c>
      <c r="C297">
        <v>10339897</v>
      </c>
      <c r="D297">
        <v>4225</v>
      </c>
    </row>
    <row r="298" spans="1:4" x14ac:dyDescent="0.25">
      <c r="A298" t="str">
        <f>T("   251690")</f>
        <v xml:space="preserve">   251690</v>
      </c>
      <c r="B298" t="s">
        <v>26</v>
      </c>
      <c r="C298">
        <v>7651082</v>
      </c>
      <c r="D298">
        <v>55040</v>
      </c>
    </row>
    <row r="299" spans="1:4" x14ac:dyDescent="0.25">
      <c r="A299" t="str">
        <f>T("   380840")</f>
        <v xml:space="preserve">   380840</v>
      </c>
      <c r="B299"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299">
        <v>34044324</v>
      </c>
      <c r="D299">
        <v>60000</v>
      </c>
    </row>
    <row r="300" spans="1:4" x14ac:dyDescent="0.25">
      <c r="A300" t="str">
        <f>T("   392329")</f>
        <v xml:space="preserve">   392329</v>
      </c>
      <c r="B300" t="str">
        <f>T("   Sacs, sachets, pochettes et cornets, en matières plastiques (autres que les polymères de l'éthylène)")</f>
        <v xml:space="preserve">   Sacs, sachets, pochettes et cornets, en matières plastiques (autres que les polymères de l'éthylène)</v>
      </c>
      <c r="C300">
        <v>2096019</v>
      </c>
      <c r="D300">
        <v>588</v>
      </c>
    </row>
    <row r="301" spans="1:4" x14ac:dyDescent="0.25">
      <c r="A301" t="str">
        <f>T("   392330")</f>
        <v xml:space="preserve">   392330</v>
      </c>
      <c r="B301" t="str">
        <f>T("   Bonbonnes, bouteilles, flacons et articles simil. pour le transport ou l'emballage, en matières plastiques")</f>
        <v xml:space="preserve">   Bonbonnes, bouteilles, flacons et articles simil. pour le transport ou l'emballage, en matières plastiques</v>
      </c>
      <c r="C301">
        <v>2000000</v>
      </c>
      <c r="D301">
        <v>1000</v>
      </c>
    </row>
    <row r="302" spans="1:4" x14ac:dyDescent="0.25">
      <c r="A302" t="str">
        <f>T("   490199")</f>
        <v xml:space="preserve">   490199</v>
      </c>
      <c r="B302"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02">
        <v>200000</v>
      </c>
      <c r="D302">
        <v>50</v>
      </c>
    </row>
    <row r="303" spans="1:4" x14ac:dyDescent="0.25">
      <c r="A303" t="str">
        <f>T("   490700")</f>
        <v xml:space="preserve">   490700</v>
      </c>
      <c r="B303" t="s">
        <v>52</v>
      </c>
      <c r="C303">
        <v>52700000</v>
      </c>
      <c r="D303">
        <v>25610</v>
      </c>
    </row>
    <row r="304" spans="1:4" x14ac:dyDescent="0.25">
      <c r="A304" t="str">
        <f>T("   520100")</f>
        <v xml:space="preserve">   520100</v>
      </c>
      <c r="B304" t="str">
        <f>T("   COTON, NON-CARDÉ NI PEIGNÉ")</f>
        <v xml:space="preserve">   COTON, NON-CARDÉ NI PEIGNÉ</v>
      </c>
      <c r="C304">
        <v>197235515</v>
      </c>
      <c r="D304">
        <v>229489</v>
      </c>
    </row>
    <row r="305" spans="1:4" x14ac:dyDescent="0.25">
      <c r="A305" t="str">
        <f>T("   610469")</f>
        <v xml:space="preserve">   610469</v>
      </c>
      <c r="B305" t="s">
        <v>54</v>
      </c>
      <c r="C305">
        <v>200000</v>
      </c>
      <c r="D305">
        <v>1900</v>
      </c>
    </row>
    <row r="306" spans="1:4" x14ac:dyDescent="0.25">
      <c r="A306" t="str">
        <f>T("   620329")</f>
        <v xml:space="preserve">   620329</v>
      </c>
      <c r="B30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306">
        <v>3949000</v>
      </c>
      <c r="D306">
        <v>300</v>
      </c>
    </row>
    <row r="307" spans="1:4" x14ac:dyDescent="0.25">
      <c r="A307" t="str">
        <f>T("   620590")</f>
        <v xml:space="preserve">   620590</v>
      </c>
      <c r="B30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07">
        <v>4900000</v>
      </c>
      <c r="D307">
        <v>4700</v>
      </c>
    </row>
    <row r="308" spans="1:4" x14ac:dyDescent="0.25">
      <c r="A308" t="str">
        <f>T("   621020")</f>
        <v xml:space="preserve">   621020</v>
      </c>
      <c r="B308"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308">
        <v>703600</v>
      </c>
      <c r="D308">
        <v>437</v>
      </c>
    </row>
    <row r="309" spans="1:4" x14ac:dyDescent="0.25">
      <c r="A309" t="str">
        <f>T("   621040")</f>
        <v xml:space="preserve">   621040</v>
      </c>
      <c r="B309" t="s">
        <v>55</v>
      </c>
      <c r="C309">
        <v>9193938</v>
      </c>
      <c r="D309">
        <v>2350</v>
      </c>
    </row>
    <row r="310" spans="1:4" x14ac:dyDescent="0.25">
      <c r="A310" t="str">
        <f>T("   621132")</f>
        <v xml:space="preserve">   621132</v>
      </c>
      <c r="B310" t="str">
        <f>T("   Survêtements de sport 'trainings' et autres vêtements n.d.a., de coton, pour hommes ou garçonnets (autres qu'en bonneterie)")</f>
        <v xml:space="preserve">   Survêtements de sport 'trainings' et autres vêtements n.d.a., de coton, pour hommes ou garçonnets (autres qu'en bonneterie)</v>
      </c>
      <c r="C310">
        <v>2000000</v>
      </c>
      <c r="D310">
        <v>500</v>
      </c>
    </row>
    <row r="311" spans="1:4" x14ac:dyDescent="0.25">
      <c r="A311" t="str">
        <f>T("   630900")</f>
        <v xml:space="preserve">   630900</v>
      </c>
      <c r="B311" t="s">
        <v>57</v>
      </c>
      <c r="C311">
        <v>1000000</v>
      </c>
      <c r="D311">
        <v>2000</v>
      </c>
    </row>
    <row r="312" spans="1:4" x14ac:dyDescent="0.25">
      <c r="A312" t="str">
        <f>T("   691200")</f>
        <v xml:space="preserve">   691200</v>
      </c>
      <c r="B312" t="s">
        <v>61</v>
      </c>
      <c r="C312">
        <v>1799000</v>
      </c>
      <c r="D312">
        <v>5000</v>
      </c>
    </row>
    <row r="313" spans="1:4" x14ac:dyDescent="0.25">
      <c r="A313" t="str">
        <f>T("   720430")</f>
        <v xml:space="preserve">   720430</v>
      </c>
      <c r="B31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313">
        <v>500000</v>
      </c>
      <c r="D313">
        <v>22000</v>
      </c>
    </row>
    <row r="314" spans="1:4" x14ac:dyDescent="0.25">
      <c r="A314" t="str">
        <f>T("   730449")</f>
        <v xml:space="preserve">   730449</v>
      </c>
      <c r="B314" t="str">
        <f>T("   TUBES, TUYAUX ET PROFILÉS CREUX, SANS SOUDURE, DE SECTION CIRCULAIRE, EN ACIERS INOXYDABLES, NON-ÉTIRÉS OU LAMINÉS À FROID (AUTRES QUE LES TUBES DES TYPES UTILISÉS POUR LES OLÉODUCS OU LES GAZODUCS OU POUR L'EXTRACTION DU PÉTROLE OU DU GAZ)")</f>
        <v xml:space="preserve">   TUBES, TUYAUX ET PROFILÉS CREUX, SANS SOUDURE, DE SECTION CIRCULAIRE, EN ACIERS INOXYDABLES, NON-ÉTIRÉS OU LAMINÉS À FROID (AUTRES QUE LES TUBES DES TYPES UTILISÉS POUR LES OLÉODUCS OU LES GAZODUCS OU POUR L'EXTRACTION DU PÉTROLE OU DU GAZ)</v>
      </c>
      <c r="C314">
        <v>1777652</v>
      </c>
      <c r="D314">
        <v>4700</v>
      </c>
    </row>
    <row r="315" spans="1:4" x14ac:dyDescent="0.25">
      <c r="A315" t="str">
        <f>T("   731100")</f>
        <v xml:space="preserve">   731100</v>
      </c>
      <c r="B315" t="str">
        <f>T("   Récipients en fonte, fer ou acier, pour gaz comprimés ou liquéfiés (autres que conteneurs spécialement conçus ou équipés pour un ou plusieurs moyens de transport)")</f>
        <v xml:space="preserve">   Récipients en fonte, fer ou acier, pour gaz comprimés ou liquéfiés (autres que conteneurs spécialement conçus ou équipés pour un ou plusieurs moyens de transport)</v>
      </c>
      <c r="C315">
        <v>4100000</v>
      </c>
      <c r="D315">
        <v>10719</v>
      </c>
    </row>
    <row r="316" spans="1:4" x14ac:dyDescent="0.25">
      <c r="A316" t="str">
        <f>T("   732394")</f>
        <v xml:space="preserve">   732394</v>
      </c>
      <c r="B316" t="s">
        <v>72</v>
      </c>
      <c r="C316">
        <v>4750000</v>
      </c>
      <c r="D316">
        <v>5170</v>
      </c>
    </row>
    <row r="317" spans="1:4" x14ac:dyDescent="0.25">
      <c r="A317" t="str">
        <f>T("   732399")</f>
        <v xml:space="preserve">   732399</v>
      </c>
      <c r="B317" t="s">
        <v>73</v>
      </c>
      <c r="C317">
        <v>400000</v>
      </c>
      <c r="D317">
        <v>20000</v>
      </c>
    </row>
    <row r="318" spans="1:4" x14ac:dyDescent="0.25">
      <c r="A318" t="str">
        <f>T("   820719")</f>
        <v xml:space="preserve">   820719</v>
      </c>
      <c r="B318" t="str">
        <f>T("   Outils de forage ou de sondage, interchangeables, et leurs parties, avec partie travaillante en matières autres qu'en carbures métalliques frittés ou en cermets")</f>
        <v xml:space="preserve">   Outils de forage ou de sondage, interchangeables, et leurs parties, avec partie travaillante en matières autres qu'en carbures métalliques frittés ou en cermets</v>
      </c>
      <c r="C318">
        <v>17966400</v>
      </c>
      <c r="D318">
        <v>58320</v>
      </c>
    </row>
    <row r="319" spans="1:4" x14ac:dyDescent="0.25">
      <c r="A319" t="str">
        <f>T("   840890")</f>
        <v xml:space="preserve">   840890</v>
      </c>
      <c r="B319" t="s">
        <v>80</v>
      </c>
      <c r="C319">
        <v>1200000</v>
      </c>
      <c r="D319">
        <v>1200</v>
      </c>
    </row>
    <row r="320" spans="1:4" x14ac:dyDescent="0.25">
      <c r="A320" t="str">
        <f>T("   841340")</f>
        <v xml:space="preserve">   841340</v>
      </c>
      <c r="B320" t="str">
        <f>T("   Pompes à béton")</f>
        <v xml:space="preserve">   Pompes à béton</v>
      </c>
      <c r="C320">
        <v>30645300</v>
      </c>
      <c r="D320">
        <v>82952</v>
      </c>
    </row>
    <row r="321" spans="1:4" x14ac:dyDescent="0.25">
      <c r="A321" t="str">
        <f>T("   841382")</f>
        <v xml:space="preserve">   841382</v>
      </c>
      <c r="B321" t="str">
        <f>T("   Elévateurs à liquides (à l'excl. des pompes)")</f>
        <v xml:space="preserve">   Elévateurs à liquides (à l'excl. des pompes)</v>
      </c>
      <c r="C321">
        <v>23859234</v>
      </c>
      <c r="D321">
        <v>4373</v>
      </c>
    </row>
    <row r="322" spans="1:4" x14ac:dyDescent="0.25">
      <c r="A322" t="str">
        <f>T("   842649")</f>
        <v xml:space="preserve">   842649</v>
      </c>
      <c r="B322" t="str">
        <f>T("   Bigues et chariots-grues et appareils autopropulsés (autres que sur pneumatiques et sauf chariots-cavaliers)")</f>
        <v xml:space="preserve">   Bigues et chariots-grues et appareils autopropulsés (autres que sur pneumatiques et sauf chariots-cavaliers)</v>
      </c>
      <c r="C322">
        <v>649963214</v>
      </c>
      <c r="D322">
        <v>100000</v>
      </c>
    </row>
    <row r="323" spans="1:4" x14ac:dyDescent="0.25">
      <c r="A323" t="str">
        <f>T("   843069")</f>
        <v xml:space="preserve">   843069</v>
      </c>
      <c r="B323"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323">
        <v>246654079</v>
      </c>
      <c r="D323">
        <v>12606</v>
      </c>
    </row>
    <row r="324" spans="1:4" x14ac:dyDescent="0.25">
      <c r="A324" t="str">
        <f>T("   843141")</f>
        <v xml:space="preserve">   843141</v>
      </c>
      <c r="B324" t="str">
        <f>T("   Godets, bennes, bennes-preneuses, pelles, grappins et pinces pour machines et appareils du n° 8426, 8429 ou 8430")</f>
        <v xml:space="preserve">   Godets, bennes, bennes-preneuses, pelles, grappins et pinces pour machines et appareils du n° 8426, 8429 ou 8430</v>
      </c>
      <c r="C324">
        <v>8631150</v>
      </c>
      <c r="D324">
        <v>7490</v>
      </c>
    </row>
    <row r="325" spans="1:4" x14ac:dyDescent="0.25">
      <c r="A325" t="str">
        <f>T("   843143")</f>
        <v xml:space="preserve">   843143</v>
      </c>
      <c r="B325" t="str">
        <f>T("   Parties de machines de sondage ou de forage du n° 8430.41 ou 8430.49, n.d.a.")</f>
        <v xml:space="preserve">   Parties de machines de sondage ou de forage du n° 8430.41 ou 8430.49, n.d.a.</v>
      </c>
      <c r="C325">
        <v>15602009</v>
      </c>
      <c r="D325">
        <v>50</v>
      </c>
    </row>
    <row r="326" spans="1:4" x14ac:dyDescent="0.25">
      <c r="A326" t="str">
        <f>T("   843149")</f>
        <v xml:space="preserve">   843149</v>
      </c>
      <c r="B326" t="str">
        <f>T("   Parties de machines et appareils du n° 8426, 8429 ou 8430, n.d.a.")</f>
        <v xml:space="preserve">   Parties de machines et appareils du n° 8426, 8429 ou 8430, n.d.a.</v>
      </c>
      <c r="C326">
        <v>50483869</v>
      </c>
      <c r="D326">
        <v>54470</v>
      </c>
    </row>
    <row r="327" spans="1:4" x14ac:dyDescent="0.25">
      <c r="A327" t="str">
        <f>T("   847439")</f>
        <v xml:space="preserve">   847439</v>
      </c>
      <c r="B327"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327">
        <v>6337305</v>
      </c>
      <c r="D327">
        <v>6768</v>
      </c>
    </row>
    <row r="328" spans="1:4" x14ac:dyDescent="0.25">
      <c r="A328" t="str">
        <f>T("   850211")</f>
        <v xml:space="preserve">   850211</v>
      </c>
      <c r="B328" t="s">
        <v>91</v>
      </c>
      <c r="C328">
        <v>2099072</v>
      </c>
      <c r="D328">
        <v>9000</v>
      </c>
    </row>
    <row r="329" spans="1:4" x14ac:dyDescent="0.25">
      <c r="A329" t="str">
        <f>T("   850220")</f>
        <v xml:space="preserve">   850220</v>
      </c>
      <c r="B329" t="s">
        <v>93</v>
      </c>
      <c r="C329">
        <v>17285201</v>
      </c>
      <c r="D329">
        <v>3860</v>
      </c>
    </row>
    <row r="330" spans="1:4" x14ac:dyDescent="0.25">
      <c r="A330" t="str">
        <f>T("   870322")</f>
        <v xml:space="preserve">   870322</v>
      </c>
      <c r="B330" t="s">
        <v>97</v>
      </c>
      <c r="C330">
        <v>13801607</v>
      </c>
      <c r="D330">
        <v>7360</v>
      </c>
    </row>
    <row r="331" spans="1:4" x14ac:dyDescent="0.25">
      <c r="A331" t="str">
        <f>T("   870323")</f>
        <v xml:space="preserve">   870323</v>
      </c>
      <c r="B331" t="s">
        <v>98</v>
      </c>
      <c r="C331">
        <v>12647150</v>
      </c>
      <c r="D331">
        <v>10175</v>
      </c>
    </row>
    <row r="332" spans="1:4" x14ac:dyDescent="0.25">
      <c r="A332" t="str">
        <f>T("   870324")</f>
        <v xml:space="preserve">   870324</v>
      </c>
      <c r="B332" t="s">
        <v>99</v>
      </c>
      <c r="C332">
        <v>62208624</v>
      </c>
      <c r="D332">
        <v>2000</v>
      </c>
    </row>
    <row r="333" spans="1:4" x14ac:dyDescent="0.25">
      <c r="A333" t="str">
        <f>T("   870333")</f>
        <v xml:space="preserve">   870333</v>
      </c>
      <c r="B333" t="s">
        <v>101</v>
      </c>
      <c r="C333">
        <v>45167664</v>
      </c>
      <c r="D333">
        <v>2110</v>
      </c>
    </row>
    <row r="334" spans="1:4" x14ac:dyDescent="0.25">
      <c r="A334" t="str">
        <f>T("   871120")</f>
        <v xml:space="preserve">   871120</v>
      </c>
      <c r="B334" t="str">
        <f>T("   Motocycles à moteur à piston alternatif, cylindrée &gt; 50 cm³ mais &lt;= 250 cm³")</f>
        <v xml:space="preserve">   Motocycles à moteur à piston alternatif, cylindrée &gt; 50 cm³ mais &lt;= 250 cm³</v>
      </c>
      <c r="C334">
        <v>11626424</v>
      </c>
      <c r="D334">
        <v>760</v>
      </c>
    </row>
    <row r="335" spans="1:4" x14ac:dyDescent="0.25">
      <c r="A335" t="str">
        <f>T("   871150")</f>
        <v xml:space="preserve">   871150</v>
      </c>
      <c r="B335" t="str">
        <f>T("   Motocycles à moteur à piston alternatif, cylindrée &gt; 800 cm³")</f>
        <v xml:space="preserve">   Motocycles à moteur à piston alternatif, cylindrée &gt; 800 cm³</v>
      </c>
      <c r="C335">
        <v>514419</v>
      </c>
      <c r="D335">
        <v>600</v>
      </c>
    </row>
    <row r="336" spans="1:4" x14ac:dyDescent="0.25">
      <c r="A336" t="str">
        <f>T("   871190")</f>
        <v xml:space="preserve">   871190</v>
      </c>
      <c r="B336" t="str">
        <f>T("   Side-cars")</f>
        <v xml:space="preserve">   Side-cars</v>
      </c>
      <c r="C336">
        <v>530000</v>
      </c>
      <c r="D336">
        <v>800</v>
      </c>
    </row>
    <row r="337" spans="1:4" x14ac:dyDescent="0.25">
      <c r="A337" t="str">
        <f>T("   880220")</f>
        <v xml:space="preserve">   880220</v>
      </c>
      <c r="B337" t="str">
        <f>T("   Avions et autres véhicules aériens, conçus pour la propulsion à moteur, sauf hélicoptères et dirigeables, d'un poids à vide &lt;= 2.000 kg")</f>
        <v xml:space="preserve">   Avions et autres véhicules aériens, conçus pour la propulsion à moteur, sauf hélicoptères et dirigeables, d'un poids à vide &lt;= 2.000 kg</v>
      </c>
      <c r="C337">
        <v>33389779</v>
      </c>
      <c r="D337">
        <v>280</v>
      </c>
    </row>
    <row r="338" spans="1:4" x14ac:dyDescent="0.25">
      <c r="A338" t="str">
        <f>T("   940180")</f>
        <v xml:space="preserve">   940180</v>
      </c>
      <c r="B338" t="str">
        <f>T("   Sièges, n.d.a.")</f>
        <v xml:space="preserve">   Sièges, n.d.a.</v>
      </c>
      <c r="C338">
        <v>1553313</v>
      </c>
      <c r="D338">
        <v>5000</v>
      </c>
    </row>
    <row r="339" spans="1:4" x14ac:dyDescent="0.25">
      <c r="A339" t="str">
        <f>T("   940350")</f>
        <v xml:space="preserve">   940350</v>
      </c>
      <c r="B339" t="str">
        <f>T("   Meubles pour chambres à coucher, en bois (sauf sièges)")</f>
        <v xml:space="preserve">   Meubles pour chambres à coucher, en bois (sauf sièges)</v>
      </c>
      <c r="C339">
        <v>53208600</v>
      </c>
      <c r="D339">
        <v>36650</v>
      </c>
    </row>
    <row r="340" spans="1:4" x14ac:dyDescent="0.25">
      <c r="A340" t="str">
        <f>T("   940360")</f>
        <v xml:space="preserve">   940360</v>
      </c>
      <c r="B340" t="str">
        <f>T("   Meubles en bois (autres que pour bureaux, cuisines ou chambres à coucher et autres que sièges)")</f>
        <v xml:space="preserve">   Meubles en bois (autres que pour bureaux, cuisines ou chambres à coucher et autres que sièges)</v>
      </c>
      <c r="C340">
        <v>35200000</v>
      </c>
      <c r="D340">
        <v>32380</v>
      </c>
    </row>
    <row r="341" spans="1:4" x14ac:dyDescent="0.25">
      <c r="A341" t="str">
        <f>T("   940380")</f>
        <v xml:space="preserve">   940380</v>
      </c>
      <c r="B341" t="str">
        <f>T("   Meubles en rotin, osier, bambou ou autres matières (sauf métal, bois et matières plastiques)")</f>
        <v xml:space="preserve">   Meubles en rotin, osier, bambou ou autres matières (sauf métal, bois et matières plastiques)</v>
      </c>
      <c r="C341">
        <v>800000</v>
      </c>
      <c r="D341">
        <v>20000</v>
      </c>
    </row>
    <row r="342" spans="1:4" x14ac:dyDescent="0.25">
      <c r="A342" t="str">
        <f>T("   950299")</f>
        <v xml:space="preserve">   950299</v>
      </c>
      <c r="B342" t="str">
        <f>T("   Parties et accessoires pour poupées représentant uniquement l'être humain, n.d.a.")</f>
        <v xml:space="preserve">   Parties et accessoires pour poupées représentant uniquement l'être humain, n.d.a.</v>
      </c>
      <c r="C342">
        <v>100000</v>
      </c>
      <c r="D342">
        <v>100</v>
      </c>
    </row>
    <row r="343" spans="1:4" x14ac:dyDescent="0.25">
      <c r="A343" t="str">
        <f>T("GA")</f>
        <v>GA</v>
      </c>
      <c r="B343" t="str">
        <f>T("Gabon")</f>
        <v>Gabon</v>
      </c>
    </row>
    <row r="344" spans="1:4" x14ac:dyDescent="0.25">
      <c r="A344" t="str">
        <f>T("   ZZ_Total_Produit_SH6")</f>
        <v xml:space="preserve">   ZZ_Total_Produit_SH6</v>
      </c>
      <c r="B344" t="str">
        <f>T("   ZZ_Total_Produit_SH6")</f>
        <v xml:space="preserve">   ZZ_Total_Produit_SH6</v>
      </c>
      <c r="C344">
        <v>1127223726</v>
      </c>
      <c r="D344">
        <v>2246177.12</v>
      </c>
    </row>
    <row r="345" spans="1:4" x14ac:dyDescent="0.25">
      <c r="A345" t="str">
        <f>T("   071339")</f>
        <v xml:space="preserve">   071339</v>
      </c>
      <c r="B345"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345">
        <v>1020000</v>
      </c>
      <c r="D345">
        <v>7650</v>
      </c>
    </row>
    <row r="346" spans="1:4" x14ac:dyDescent="0.25">
      <c r="A346" t="str">
        <f>T("   071490")</f>
        <v xml:space="preserve">   071490</v>
      </c>
      <c r="B346" t="s">
        <v>14</v>
      </c>
      <c r="C346">
        <v>10805000</v>
      </c>
      <c r="D346">
        <v>151500</v>
      </c>
    </row>
    <row r="347" spans="1:4" x14ac:dyDescent="0.25">
      <c r="A347" t="str">
        <f>T("   080410")</f>
        <v xml:space="preserve">   080410</v>
      </c>
      <c r="B347" t="str">
        <f>T("   Dattes, fraîches ou sèches")</f>
        <v xml:space="preserve">   Dattes, fraîches ou sèches</v>
      </c>
      <c r="C347">
        <v>1450000</v>
      </c>
      <c r="D347">
        <v>12000</v>
      </c>
    </row>
    <row r="348" spans="1:4" x14ac:dyDescent="0.25">
      <c r="A348" t="str">
        <f>T("   100590")</f>
        <v xml:space="preserve">   100590</v>
      </c>
      <c r="B348" t="str">
        <f>T("   Maïs (autre que de semence)")</f>
        <v xml:space="preserve">   Maïs (autre que de semence)</v>
      </c>
      <c r="C348">
        <v>1380000</v>
      </c>
      <c r="D348">
        <v>14000</v>
      </c>
    </row>
    <row r="349" spans="1:4" x14ac:dyDescent="0.25">
      <c r="A349" t="str">
        <f>T("   100610")</f>
        <v xml:space="preserve">   100610</v>
      </c>
      <c r="B349" t="str">
        <f>T("   Riz en paille [riz paddy]")</f>
        <v xml:space="preserve">   Riz en paille [riz paddy]</v>
      </c>
      <c r="C349">
        <v>1600000</v>
      </c>
      <c r="D349">
        <v>300</v>
      </c>
    </row>
    <row r="350" spans="1:4" x14ac:dyDescent="0.25">
      <c r="A350" t="str">
        <f>T("   110290")</f>
        <v xml:space="preserve">   110290</v>
      </c>
      <c r="B350" t="str">
        <f>T("   FARINES DE CÉRÉALES (À L'EXCL. DES FARINES DE FROMENT [BLÉ], DE MÉTEIL, DE SEIGLE ET DE MAÏS)")</f>
        <v xml:space="preserve">   FARINES DE CÉRÉALES (À L'EXCL. DES FARINES DE FROMENT [BLÉ], DE MÉTEIL, DE SEIGLE ET DE MAÏS)</v>
      </c>
      <c r="C350">
        <v>850000</v>
      </c>
      <c r="D350">
        <v>7500</v>
      </c>
    </row>
    <row r="351" spans="1:4" x14ac:dyDescent="0.25">
      <c r="A351" t="str">
        <f>T("   110620")</f>
        <v xml:space="preserve">   110620</v>
      </c>
      <c r="B351" t="str">
        <f>T("   Farines, semoules et poudres de sagou ou des racines ou tubercules du n° 0714")</f>
        <v xml:space="preserve">   Farines, semoules et poudres de sagou ou des racines ou tubercules du n° 0714</v>
      </c>
      <c r="C351">
        <v>15400000</v>
      </c>
      <c r="D351">
        <v>141775</v>
      </c>
    </row>
    <row r="352" spans="1:4" x14ac:dyDescent="0.25">
      <c r="A352" t="str">
        <f>T("   200600")</f>
        <v xml:space="preserve">   200600</v>
      </c>
      <c r="B352" t="str">
        <f>T("   Légumes, fruits, écorces de fruits et autres parties de plantes, confits au sucre [égouttés, glacés ou cristallisés]")</f>
        <v xml:space="preserve">   Légumes, fruits, écorces de fruits et autres parties de plantes, confits au sucre [égouttés, glacés ou cristallisés]</v>
      </c>
      <c r="C352">
        <v>300000</v>
      </c>
      <c r="D352">
        <v>3700</v>
      </c>
    </row>
    <row r="353" spans="1:4" x14ac:dyDescent="0.25">
      <c r="A353" t="str">
        <f>T("   220600")</f>
        <v xml:space="preserve">   220600</v>
      </c>
      <c r="B353" t="s">
        <v>21</v>
      </c>
      <c r="C353">
        <v>1450000</v>
      </c>
      <c r="D353">
        <v>19800</v>
      </c>
    </row>
    <row r="354" spans="1:4" x14ac:dyDescent="0.25">
      <c r="A354" t="str">
        <f>T("   220720")</f>
        <v xml:space="preserve">   220720</v>
      </c>
      <c r="B354" t="str">
        <f>T("   Alcool éthylique et eaux-de-vie dénaturés de tous titres")</f>
        <v xml:space="preserve">   Alcool éthylique et eaux-de-vie dénaturés de tous titres</v>
      </c>
      <c r="C354">
        <v>2160000</v>
      </c>
      <c r="D354">
        <v>4800</v>
      </c>
    </row>
    <row r="355" spans="1:4" x14ac:dyDescent="0.25">
      <c r="A355" t="str">
        <f>T("   220890")</f>
        <v xml:space="preserve">   220890</v>
      </c>
      <c r="B355" t="s">
        <v>22</v>
      </c>
      <c r="C355">
        <v>150000</v>
      </c>
      <c r="D355">
        <v>6400</v>
      </c>
    </row>
    <row r="356" spans="1:4" x14ac:dyDescent="0.25">
      <c r="A356" t="str">
        <f>T("   230240")</f>
        <v xml:space="preserve">   230240</v>
      </c>
      <c r="B356"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356">
        <v>950000</v>
      </c>
      <c r="D356">
        <v>13500</v>
      </c>
    </row>
    <row r="357" spans="1:4" x14ac:dyDescent="0.25">
      <c r="A357" t="str">
        <f>T("   230400")</f>
        <v xml:space="preserve">   230400</v>
      </c>
      <c r="B357"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357">
        <v>132196413</v>
      </c>
      <c r="D357">
        <v>620096</v>
      </c>
    </row>
    <row r="358" spans="1:4" x14ac:dyDescent="0.25">
      <c r="A358" t="str">
        <f>T("   271320")</f>
        <v xml:space="preserve">   271320</v>
      </c>
      <c r="B358" t="str">
        <f>T("   Bitume de pétrole")</f>
        <v xml:space="preserve">   Bitume de pétrole</v>
      </c>
      <c r="C358">
        <v>87829600</v>
      </c>
      <c r="D358">
        <v>174528</v>
      </c>
    </row>
    <row r="359" spans="1:4" x14ac:dyDescent="0.25">
      <c r="A359" t="str">
        <f>T("   271390")</f>
        <v xml:space="preserve">   271390</v>
      </c>
      <c r="B359" t="str">
        <f>T("   Résidus des huiles de pétrole ou de minéraux bitumineux (à l'excl. du coke de pétrole et du bitume de pétrole)")</f>
        <v xml:space="preserve">   Résidus des huiles de pétrole ou de minéraux bitumineux (à l'excl. du coke de pétrole et du bitume de pétrole)</v>
      </c>
      <c r="C359">
        <v>1320000</v>
      </c>
      <c r="D359">
        <v>11000</v>
      </c>
    </row>
    <row r="360" spans="1:4" x14ac:dyDescent="0.25">
      <c r="A360" t="str">
        <f>T("   294200")</f>
        <v xml:space="preserve">   294200</v>
      </c>
      <c r="B360" t="str">
        <f>T("   Composés organiques de constitution chimique définie présentés isolément, n.d.a.")</f>
        <v xml:space="preserve">   Composés organiques de constitution chimique définie présentés isolément, n.d.a.</v>
      </c>
      <c r="C360">
        <v>1380000</v>
      </c>
      <c r="D360">
        <v>400</v>
      </c>
    </row>
    <row r="361" spans="1:4" x14ac:dyDescent="0.25">
      <c r="A361" t="str">
        <f>T("   300390")</f>
        <v xml:space="preserve">   300390</v>
      </c>
      <c r="B361" t="s">
        <v>27</v>
      </c>
      <c r="C361">
        <v>100000</v>
      </c>
      <c r="D361">
        <v>1000</v>
      </c>
    </row>
    <row r="362" spans="1:4" x14ac:dyDescent="0.25">
      <c r="A362" t="str">
        <f>T("   330499")</f>
        <v xml:space="preserve">   330499</v>
      </c>
      <c r="B362" t="s">
        <v>33</v>
      </c>
      <c r="C362">
        <v>895000</v>
      </c>
      <c r="D362">
        <v>4600</v>
      </c>
    </row>
    <row r="363" spans="1:4" x14ac:dyDescent="0.25">
      <c r="A363" t="str">
        <f>T("   392490")</f>
        <v xml:space="preserve">   392490</v>
      </c>
      <c r="B363" t="s">
        <v>37</v>
      </c>
      <c r="C363">
        <v>1215000</v>
      </c>
      <c r="D363">
        <v>20000</v>
      </c>
    </row>
    <row r="364" spans="1:4" x14ac:dyDescent="0.25">
      <c r="A364" t="str">
        <f>T("   392690")</f>
        <v xml:space="preserve">   392690</v>
      </c>
      <c r="B364" t="str">
        <f>T("   Ouvrages en matières plastiques et ouvrages en autres matières du n° 3901 à 3914, n.d.a.")</f>
        <v xml:space="preserve">   Ouvrages en matières plastiques et ouvrages en autres matières du n° 3901 à 3914, n.d.a.</v>
      </c>
      <c r="C364">
        <v>470000</v>
      </c>
      <c r="D364">
        <v>1000</v>
      </c>
    </row>
    <row r="365" spans="1:4" x14ac:dyDescent="0.25">
      <c r="A365" t="str">
        <f>T("   401220")</f>
        <v xml:space="preserve">   401220</v>
      </c>
      <c r="B365" t="str">
        <f>T("   Pneumatiques usagés, en caoutchouc")</f>
        <v xml:space="preserve">   Pneumatiques usagés, en caoutchouc</v>
      </c>
      <c r="C365">
        <v>400000</v>
      </c>
      <c r="D365">
        <v>1000</v>
      </c>
    </row>
    <row r="366" spans="1:4" x14ac:dyDescent="0.25">
      <c r="A366" t="str">
        <f>T("   420219")</f>
        <v xml:space="preserve">   420219</v>
      </c>
      <c r="B366" t="s">
        <v>38</v>
      </c>
      <c r="C366">
        <v>6000000</v>
      </c>
      <c r="D366">
        <v>57000</v>
      </c>
    </row>
    <row r="367" spans="1:4" x14ac:dyDescent="0.25">
      <c r="A367" t="str">
        <f>T("   620329")</f>
        <v xml:space="preserve">   620329</v>
      </c>
      <c r="B367"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367">
        <v>10004702</v>
      </c>
      <c r="D367">
        <v>3100</v>
      </c>
    </row>
    <row r="368" spans="1:4" x14ac:dyDescent="0.25">
      <c r="A368" t="str">
        <f>T("   620590")</f>
        <v xml:space="preserve">   620590</v>
      </c>
      <c r="B36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68">
        <v>1000000</v>
      </c>
      <c r="D368">
        <v>1100</v>
      </c>
    </row>
    <row r="369" spans="1:4" x14ac:dyDescent="0.25">
      <c r="A369" t="str">
        <f>T("   640419")</f>
        <v xml:space="preserve">   640419</v>
      </c>
      <c r="B369" t="s">
        <v>58</v>
      </c>
      <c r="C369">
        <v>700000</v>
      </c>
      <c r="D369">
        <v>2000</v>
      </c>
    </row>
    <row r="370" spans="1:4" x14ac:dyDescent="0.25">
      <c r="A370" t="str">
        <f>T("   680229")</f>
        <v xml:space="preserve">   680229</v>
      </c>
      <c r="B370" t="s">
        <v>60</v>
      </c>
      <c r="C370">
        <v>1900000</v>
      </c>
      <c r="D370">
        <v>48000</v>
      </c>
    </row>
    <row r="371" spans="1:4" x14ac:dyDescent="0.25">
      <c r="A371" t="str">
        <f>T("   710490")</f>
        <v xml:space="preserve">   710490</v>
      </c>
      <c r="B371" t="s">
        <v>63</v>
      </c>
      <c r="C371">
        <v>100000</v>
      </c>
      <c r="D371">
        <v>180</v>
      </c>
    </row>
    <row r="372" spans="1:4" x14ac:dyDescent="0.25">
      <c r="A372" t="str">
        <f>T("   730840")</f>
        <v xml:space="preserve">   730840</v>
      </c>
      <c r="B372"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372">
        <v>14675000</v>
      </c>
      <c r="D372">
        <v>5718</v>
      </c>
    </row>
    <row r="373" spans="1:4" x14ac:dyDescent="0.25">
      <c r="A373" t="str">
        <f>T("   730890")</f>
        <v xml:space="preserve">   730890</v>
      </c>
      <c r="B373" t="s">
        <v>67</v>
      </c>
      <c r="C373">
        <v>800000</v>
      </c>
      <c r="D373">
        <v>2000</v>
      </c>
    </row>
    <row r="374" spans="1:4" x14ac:dyDescent="0.25">
      <c r="A374" t="str">
        <f>T("   730900")</f>
        <v xml:space="preserve">   730900</v>
      </c>
      <c r="B374" t="s">
        <v>68</v>
      </c>
      <c r="C374">
        <v>320000</v>
      </c>
      <c r="D374">
        <v>6000</v>
      </c>
    </row>
    <row r="375" spans="1:4" x14ac:dyDescent="0.25">
      <c r="A375" t="str">
        <f>T("   732394")</f>
        <v xml:space="preserve">   732394</v>
      </c>
      <c r="B375" t="s">
        <v>72</v>
      </c>
      <c r="C375">
        <v>1100000</v>
      </c>
      <c r="D375">
        <v>1200</v>
      </c>
    </row>
    <row r="376" spans="1:4" x14ac:dyDescent="0.25">
      <c r="A376" t="str">
        <f>T("   732599")</f>
        <v xml:space="preserve">   732599</v>
      </c>
      <c r="B376" t="str">
        <f>T("   OUVRAGES EN FONTE, FER OU ACIER, MOULÉS, N.D.A. (À L'EXCL. DE LA FONTE NON-MALLÉABLE ET SAUF BOULETS ET ARTICLES SIMIL. POUR BROYEURS)")</f>
        <v xml:space="preserve">   OUVRAGES EN FONTE, FER OU ACIER, MOULÉS, N.D.A. (À L'EXCL. DE LA FONTE NON-MALLÉABLE ET SAUF BOULETS ET ARTICLES SIMIL. POUR BROYEURS)</v>
      </c>
      <c r="C376">
        <v>600000</v>
      </c>
      <c r="D376">
        <v>2000</v>
      </c>
    </row>
    <row r="377" spans="1:4" x14ac:dyDescent="0.25">
      <c r="A377" t="str">
        <f>T("   732690")</f>
        <v xml:space="preserve">   732690</v>
      </c>
      <c r="B37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377">
        <v>14822007</v>
      </c>
      <c r="D377">
        <v>14000</v>
      </c>
    </row>
    <row r="378" spans="1:4" x14ac:dyDescent="0.25">
      <c r="A378" t="str">
        <f>T("   760820")</f>
        <v xml:space="preserve">   760820</v>
      </c>
      <c r="B378" t="str">
        <f>T("   Tubes et tuyaux en alliages d'aluminium (sauf profilés creux)")</f>
        <v xml:space="preserve">   Tubes et tuyaux en alliages d'aluminium (sauf profilés creux)</v>
      </c>
      <c r="C378">
        <v>1850000</v>
      </c>
      <c r="D378">
        <v>180</v>
      </c>
    </row>
    <row r="379" spans="1:4" x14ac:dyDescent="0.25">
      <c r="A379" t="str">
        <f>T("   820559")</f>
        <v xml:space="preserve">   820559</v>
      </c>
      <c r="B379" t="str">
        <f>T("   Outils à main, y.c. -les diamants de vitrier-, en métaux communs, n.d.a.")</f>
        <v xml:space="preserve">   Outils à main, y.c. -les diamants de vitrier-, en métaux communs, n.d.a.</v>
      </c>
      <c r="C379">
        <v>100000</v>
      </c>
      <c r="D379">
        <v>1000</v>
      </c>
    </row>
    <row r="380" spans="1:4" x14ac:dyDescent="0.25">
      <c r="A380" t="str">
        <f>T("   841391")</f>
        <v xml:space="preserve">   841391</v>
      </c>
      <c r="B380" t="str">
        <f>T("   Parties de pompes pour liquides, n.d.a.")</f>
        <v xml:space="preserve">   Parties de pompes pour liquides, n.d.a.</v>
      </c>
      <c r="C380">
        <v>200000</v>
      </c>
      <c r="D380">
        <v>4000</v>
      </c>
    </row>
    <row r="381" spans="1:4" x14ac:dyDescent="0.25">
      <c r="A381" t="str">
        <f>T("   841440")</f>
        <v xml:space="preserve">   841440</v>
      </c>
      <c r="B381" t="str">
        <f>T("   Compresseurs d'air montés sur châssis à roues et remorquables")</f>
        <v xml:space="preserve">   Compresseurs d'air montés sur châssis à roues et remorquables</v>
      </c>
      <c r="C381">
        <v>1237000</v>
      </c>
      <c r="D381">
        <v>2000</v>
      </c>
    </row>
    <row r="382" spans="1:4" x14ac:dyDescent="0.25">
      <c r="A382" t="str">
        <f>T("   842911")</f>
        <v xml:space="preserve">   842911</v>
      </c>
      <c r="B382" t="str">
        <f>T("   Bouteurs 'bulldozers' et bouteurs biais 'angledozers', à chenilles")</f>
        <v xml:space="preserve">   Bouteurs 'bulldozers' et bouteurs biais 'angledozers', à chenilles</v>
      </c>
      <c r="C382">
        <v>270000000</v>
      </c>
      <c r="D382">
        <v>64000</v>
      </c>
    </row>
    <row r="383" spans="1:4" x14ac:dyDescent="0.25">
      <c r="A383" t="str">
        <f>T("   842920")</f>
        <v xml:space="preserve">   842920</v>
      </c>
      <c r="B383" t="str">
        <f>T("   Niveleuses autopropulsées")</f>
        <v xml:space="preserve">   Niveleuses autopropulsées</v>
      </c>
      <c r="C383">
        <v>105000000</v>
      </c>
      <c r="D383">
        <v>31401</v>
      </c>
    </row>
    <row r="384" spans="1:4" x14ac:dyDescent="0.25">
      <c r="A384" t="str">
        <f>T("   842940")</f>
        <v xml:space="preserve">   842940</v>
      </c>
      <c r="B384" t="str">
        <f>T("   Rouleaux compresseurs et autres compacteuses, autopropulsés")</f>
        <v xml:space="preserve">   Rouleaux compresseurs et autres compacteuses, autopropulsés</v>
      </c>
      <c r="C384">
        <v>35000000</v>
      </c>
      <c r="D384">
        <v>2000</v>
      </c>
    </row>
    <row r="385" spans="1:4" x14ac:dyDescent="0.25">
      <c r="A385" t="str">
        <f>T("   842951")</f>
        <v xml:space="preserve">   842951</v>
      </c>
      <c r="B385" t="str">
        <f>T("   Chargeuses et chargeuses-pelleteuses, à chargement frontal, autopropulsées")</f>
        <v xml:space="preserve">   Chargeuses et chargeuses-pelleteuses, à chargement frontal, autopropulsées</v>
      </c>
      <c r="C385">
        <v>95000000</v>
      </c>
      <c r="D385">
        <v>40342</v>
      </c>
    </row>
    <row r="386" spans="1:4" x14ac:dyDescent="0.25">
      <c r="A386" t="str">
        <f>T("   842959")</f>
        <v xml:space="preserve">   842959</v>
      </c>
      <c r="B386"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386">
        <v>28686880</v>
      </c>
      <c r="D386">
        <v>178502</v>
      </c>
    </row>
    <row r="387" spans="1:4" x14ac:dyDescent="0.25">
      <c r="A387" t="str">
        <f>T("   843069")</f>
        <v xml:space="preserve">   843069</v>
      </c>
      <c r="B38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387">
        <v>9400000</v>
      </c>
      <c r="D387">
        <v>76488</v>
      </c>
    </row>
    <row r="388" spans="1:4" x14ac:dyDescent="0.25">
      <c r="A388" t="str">
        <f>T("   843139")</f>
        <v xml:space="preserve">   843139</v>
      </c>
      <c r="B388" t="str">
        <f>T("   Parties de machines et appareils du n° 8428, n.d.a.")</f>
        <v xml:space="preserve">   Parties de machines et appareils du n° 8428, n.d.a.</v>
      </c>
      <c r="C388">
        <v>8054960</v>
      </c>
      <c r="D388">
        <v>26212</v>
      </c>
    </row>
    <row r="389" spans="1:4" x14ac:dyDescent="0.25">
      <c r="A389" t="str">
        <f>T("   843780")</f>
        <v xml:space="preserve">   843780</v>
      </c>
      <c r="B389" t="s">
        <v>83</v>
      </c>
      <c r="C389">
        <v>460000</v>
      </c>
      <c r="D389">
        <v>120</v>
      </c>
    </row>
    <row r="390" spans="1:4" x14ac:dyDescent="0.25">
      <c r="A390" t="str">
        <f>T("   846190")</f>
        <v xml:space="preserve">   846190</v>
      </c>
      <c r="B390" t="str">
        <f>T("   Machines à raboter et autres machines-outils travaillant par enlèvement de métal, n.d.a.")</f>
        <v xml:space="preserve">   Machines à raboter et autres machines-outils travaillant par enlèvement de métal, n.d.a.</v>
      </c>
      <c r="C390">
        <v>4000000</v>
      </c>
      <c r="D390">
        <v>13780</v>
      </c>
    </row>
    <row r="391" spans="1:4" x14ac:dyDescent="0.25">
      <c r="A391" t="str">
        <f>T("   847431")</f>
        <v xml:space="preserve">   847431</v>
      </c>
      <c r="B391"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391">
        <v>1000000</v>
      </c>
      <c r="D391">
        <v>16800</v>
      </c>
    </row>
    <row r="392" spans="1:4" x14ac:dyDescent="0.25">
      <c r="A392" t="str">
        <f>T("   850212")</f>
        <v xml:space="preserve">   850212</v>
      </c>
      <c r="B392"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92">
        <v>5000000</v>
      </c>
      <c r="D392">
        <v>1000</v>
      </c>
    </row>
    <row r="393" spans="1:4" x14ac:dyDescent="0.25">
      <c r="A393" t="str">
        <f>T("   850213")</f>
        <v xml:space="preserve">   850213</v>
      </c>
      <c r="B393" t="s">
        <v>92</v>
      </c>
      <c r="C393">
        <v>200000</v>
      </c>
      <c r="D393">
        <v>6000</v>
      </c>
    </row>
    <row r="394" spans="1:4" x14ac:dyDescent="0.25">
      <c r="A394" t="str">
        <f>T("   850239")</f>
        <v xml:space="preserve">   850239</v>
      </c>
      <c r="B394" t="str">
        <f>T("   Groupes électrogènes (autres qu'à énergie éolienne et à moteurs à piston)")</f>
        <v xml:space="preserve">   Groupes électrogènes (autres qu'à énergie éolienne et à moteurs à piston)</v>
      </c>
      <c r="C394">
        <v>15000000</v>
      </c>
      <c r="D394">
        <v>5000</v>
      </c>
    </row>
    <row r="395" spans="1:4" x14ac:dyDescent="0.25">
      <c r="A395" t="str">
        <f>T("   853669")</f>
        <v xml:space="preserve">   853669</v>
      </c>
      <c r="B395" t="str">
        <f>T("   Fiches et prises de courant, pour une tension &lt;= 1.000 V (sauf douilles pour lampes)")</f>
        <v xml:space="preserve">   Fiches et prises de courant, pour une tension &lt;= 1.000 V (sauf douilles pour lampes)</v>
      </c>
      <c r="C395">
        <v>1557000</v>
      </c>
      <c r="D395">
        <v>2440</v>
      </c>
    </row>
    <row r="396" spans="1:4" x14ac:dyDescent="0.25">
      <c r="A396" t="str">
        <f>T("   860900")</f>
        <v xml:space="preserve">   860900</v>
      </c>
      <c r="B396"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396">
        <v>950000</v>
      </c>
      <c r="D396">
        <v>16000</v>
      </c>
    </row>
    <row r="397" spans="1:4" x14ac:dyDescent="0.25">
      <c r="A397" t="str">
        <f>T("   870120")</f>
        <v xml:space="preserve">   870120</v>
      </c>
      <c r="B397" t="str">
        <f>T("   Tracteurs routiers pour semi-remorques")</f>
        <v xml:space="preserve">   Tracteurs routiers pour semi-remorques</v>
      </c>
      <c r="C397">
        <v>68123395</v>
      </c>
      <c r="D397">
        <v>109863</v>
      </c>
    </row>
    <row r="398" spans="1:4" x14ac:dyDescent="0.25">
      <c r="A398" t="str">
        <f>T("   870190")</f>
        <v xml:space="preserve">   870190</v>
      </c>
      <c r="B398" t="str">
        <f>T("   Tracteurs (à l'excl. des chariots-tracteurs du n° 8709, ainsi que des motoculteurs, tracteurs routiers pour semi-remorques et tracteurs à chenilles)")</f>
        <v xml:space="preserve">   Tracteurs (à l'excl. des chariots-tracteurs du n° 8709, ainsi que des motoculteurs, tracteurs routiers pour semi-remorques et tracteurs à chenilles)</v>
      </c>
      <c r="C398">
        <v>10678800</v>
      </c>
      <c r="D398">
        <v>27212</v>
      </c>
    </row>
    <row r="399" spans="1:4" x14ac:dyDescent="0.25">
      <c r="A399" t="str">
        <f>T("   870290")</f>
        <v xml:space="preserve">   870290</v>
      </c>
      <c r="B399" t="s">
        <v>96</v>
      </c>
      <c r="C399">
        <v>6859600</v>
      </c>
      <c r="D399">
        <v>2015</v>
      </c>
    </row>
    <row r="400" spans="1:4" x14ac:dyDescent="0.25">
      <c r="A400" t="str">
        <f>T("   870322")</f>
        <v xml:space="preserve">   870322</v>
      </c>
      <c r="B400" t="s">
        <v>97</v>
      </c>
      <c r="C400">
        <v>21419628</v>
      </c>
      <c r="D400">
        <v>4410</v>
      </c>
    </row>
    <row r="401" spans="1:4" x14ac:dyDescent="0.25">
      <c r="A401" t="str">
        <f>T("   870323")</f>
        <v xml:space="preserve">   870323</v>
      </c>
      <c r="B401" t="s">
        <v>98</v>
      </c>
      <c r="C401">
        <v>5829336</v>
      </c>
      <c r="D401">
        <v>2495</v>
      </c>
    </row>
    <row r="402" spans="1:4" x14ac:dyDescent="0.25">
      <c r="A402" t="str">
        <f>T("   870324")</f>
        <v xml:space="preserve">   870324</v>
      </c>
      <c r="B402" t="s">
        <v>99</v>
      </c>
      <c r="C402">
        <v>13512776</v>
      </c>
      <c r="D402">
        <v>1950</v>
      </c>
    </row>
    <row r="403" spans="1:4" x14ac:dyDescent="0.25">
      <c r="A403" t="str">
        <f>T("   870421")</f>
        <v xml:space="preserve">   870421</v>
      </c>
      <c r="B403" t="s">
        <v>102</v>
      </c>
      <c r="C403">
        <v>30377100</v>
      </c>
      <c r="D403">
        <v>30900</v>
      </c>
    </row>
    <row r="404" spans="1:4" x14ac:dyDescent="0.25">
      <c r="A404" t="str">
        <f>T("   870422")</f>
        <v xml:space="preserve">   870422</v>
      </c>
      <c r="B404" t="s">
        <v>103</v>
      </c>
      <c r="C404">
        <v>19990223</v>
      </c>
      <c r="D404">
        <v>76756</v>
      </c>
    </row>
    <row r="405" spans="1:4" x14ac:dyDescent="0.25">
      <c r="A405" t="str">
        <f>T("   870423")</f>
        <v xml:space="preserve">   870423</v>
      </c>
      <c r="B405" t="s">
        <v>104</v>
      </c>
      <c r="C405">
        <v>2875752</v>
      </c>
      <c r="D405">
        <v>23450</v>
      </c>
    </row>
    <row r="406" spans="1:4" x14ac:dyDescent="0.25">
      <c r="A406" t="str">
        <f>T("   870899")</f>
        <v xml:space="preserve">   870899</v>
      </c>
      <c r="B406"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06">
        <v>20542060</v>
      </c>
      <c r="D406">
        <v>13738</v>
      </c>
    </row>
    <row r="407" spans="1:4" x14ac:dyDescent="0.25">
      <c r="A407" t="str">
        <f>T("   871620")</f>
        <v xml:space="preserve">   871620</v>
      </c>
      <c r="B407" t="str">
        <f>T("   Remorques et semi-remorques autochargeuses ou autodéchargeuses, pour usages agricoles")</f>
        <v xml:space="preserve">   Remorques et semi-remorques autochargeuses ou autodéchargeuses, pour usages agricoles</v>
      </c>
      <c r="C407">
        <v>4757045</v>
      </c>
      <c r="D407">
        <v>9962</v>
      </c>
    </row>
    <row r="408" spans="1:4" x14ac:dyDescent="0.25">
      <c r="A408" t="str">
        <f>T("   871631")</f>
        <v xml:space="preserve">   871631</v>
      </c>
      <c r="B408" t="str">
        <f>T("   Remorques-citernes ne circulant pas sur rails")</f>
        <v xml:space="preserve">   Remorques-citernes ne circulant pas sur rails</v>
      </c>
      <c r="C408">
        <v>11719449</v>
      </c>
      <c r="D408">
        <v>85956</v>
      </c>
    </row>
    <row r="409" spans="1:4" x14ac:dyDescent="0.25">
      <c r="A409" t="str">
        <f>T("   890110")</f>
        <v xml:space="preserve">   890110</v>
      </c>
      <c r="B409" t="str">
        <f>T("   Paquebots, bateaux de croisières et simil., pour le transport de personnes; transbordeurs")</f>
        <v xml:space="preserve">   Paquebots, bateaux de croisières et simil., pour le transport de personnes; transbordeurs</v>
      </c>
      <c r="C409">
        <v>2500000</v>
      </c>
      <c r="D409">
        <v>2648</v>
      </c>
    </row>
    <row r="410" spans="1:4" x14ac:dyDescent="0.25">
      <c r="A410" t="str">
        <f>T("   890391")</f>
        <v xml:space="preserve">   890391</v>
      </c>
      <c r="B410" t="str">
        <f>T("   Bateaux à voile, de plaisance ou de sport, même avec moteur auxiliaire")</f>
        <v xml:space="preserve">   Bateaux à voile, de plaisance ou de sport, même avec moteur auxiliaire</v>
      </c>
      <c r="C410">
        <v>300000</v>
      </c>
      <c r="D410">
        <v>1500</v>
      </c>
    </row>
    <row r="411" spans="1:4" x14ac:dyDescent="0.25">
      <c r="A411" t="str">
        <f>T("   940310")</f>
        <v xml:space="preserve">   940310</v>
      </c>
      <c r="B411" t="str">
        <f>T("   Meubles de bureau en métal (sauf sièges)")</f>
        <v xml:space="preserve">   Meubles de bureau en métal (sauf sièges)</v>
      </c>
      <c r="C411">
        <v>8000000</v>
      </c>
      <c r="D411">
        <v>4800</v>
      </c>
    </row>
    <row r="412" spans="1:4" x14ac:dyDescent="0.25">
      <c r="A412" t="str">
        <f>T("   940350")</f>
        <v xml:space="preserve">   940350</v>
      </c>
      <c r="B412" t="str">
        <f>T("   Meubles pour chambres à coucher, en bois (sauf sièges)")</f>
        <v xml:space="preserve">   Meubles pour chambres à coucher, en bois (sauf sièges)</v>
      </c>
      <c r="C412">
        <v>1400000</v>
      </c>
      <c r="D412">
        <v>2200</v>
      </c>
    </row>
    <row r="413" spans="1:4" x14ac:dyDescent="0.25">
      <c r="A413" t="str">
        <f>T("   940380")</f>
        <v xml:space="preserve">   940380</v>
      </c>
      <c r="B413" t="str">
        <f>T("   Meubles en rotin, osier, bambou ou autres matières (sauf métal, bois et matières plastiques)")</f>
        <v xml:space="preserve">   Meubles en rotin, osier, bambou ou autres matières (sauf métal, bois et matières plastiques)</v>
      </c>
      <c r="C413">
        <v>300000</v>
      </c>
      <c r="D413">
        <v>210.12</v>
      </c>
    </row>
    <row r="414" spans="1:4" x14ac:dyDescent="0.25">
      <c r="A414" t="str">
        <f>T("GB")</f>
        <v>GB</v>
      </c>
      <c r="B414" t="str">
        <f>T("Royaume-Uni")</f>
        <v>Royaume-Uni</v>
      </c>
    </row>
    <row r="415" spans="1:4" x14ac:dyDescent="0.25">
      <c r="A415" t="str">
        <f>T("   ZZ_Total_Produit_SH6")</f>
        <v xml:space="preserve">   ZZ_Total_Produit_SH6</v>
      </c>
      <c r="B415" t="str">
        <f>T("   ZZ_Total_Produit_SH6")</f>
        <v xml:space="preserve">   ZZ_Total_Produit_SH6</v>
      </c>
      <c r="C415">
        <v>2675000</v>
      </c>
      <c r="D415">
        <v>16100</v>
      </c>
    </row>
    <row r="416" spans="1:4" x14ac:dyDescent="0.25">
      <c r="A416" t="str">
        <f>T("   520299")</f>
        <v xml:space="preserve">   520299</v>
      </c>
      <c r="B416" t="str">
        <f>T("   Déchets de coton (à l'excl. des déchets de fils et des effilochés)")</f>
        <v xml:space="preserve">   Déchets de coton (à l'excl. des déchets de fils et des effilochés)</v>
      </c>
      <c r="C416">
        <v>1875000</v>
      </c>
      <c r="D416">
        <v>15000</v>
      </c>
    </row>
    <row r="417" spans="1:4" x14ac:dyDescent="0.25">
      <c r="A417" t="str">
        <f>T("   870322")</f>
        <v xml:space="preserve">   870322</v>
      </c>
      <c r="B417" t="s">
        <v>97</v>
      </c>
      <c r="C417">
        <v>800000</v>
      </c>
      <c r="D417">
        <v>1100</v>
      </c>
    </row>
    <row r="418" spans="1:4" x14ac:dyDescent="0.25">
      <c r="A418" t="str">
        <f>T("GH")</f>
        <v>GH</v>
      </c>
      <c r="B418" t="str">
        <f>T("Ghana")</f>
        <v>Ghana</v>
      </c>
    </row>
    <row r="419" spans="1:4" x14ac:dyDescent="0.25">
      <c r="A419" t="str">
        <f>T("   ZZ_Total_Produit_SH6")</f>
        <v xml:space="preserve">   ZZ_Total_Produit_SH6</v>
      </c>
      <c r="B419" t="str">
        <f>T("   ZZ_Total_Produit_SH6")</f>
        <v xml:space="preserve">   ZZ_Total_Produit_SH6</v>
      </c>
      <c r="C419">
        <v>2964231407</v>
      </c>
      <c r="D419">
        <v>7695343.6200000001</v>
      </c>
    </row>
    <row r="420" spans="1:4" x14ac:dyDescent="0.25">
      <c r="A420" t="str">
        <f>T("   030379")</f>
        <v xml:space="preserve">   030379</v>
      </c>
      <c r="B420" t="s">
        <v>13</v>
      </c>
      <c r="C420">
        <v>123870000</v>
      </c>
      <c r="D420">
        <v>279200</v>
      </c>
    </row>
    <row r="421" spans="1:4" x14ac:dyDescent="0.25">
      <c r="A421" t="str">
        <f>T("   080211")</f>
        <v xml:space="preserve">   080211</v>
      </c>
      <c r="B421" t="str">
        <f>T("   Amandes, fraîches ou sèches, en coques")</f>
        <v xml:space="preserve">   Amandes, fraîches ou sèches, en coques</v>
      </c>
      <c r="C421">
        <v>15147918</v>
      </c>
      <c r="D421">
        <v>708932</v>
      </c>
    </row>
    <row r="422" spans="1:4" x14ac:dyDescent="0.25">
      <c r="A422" t="str">
        <f>T("   120100")</f>
        <v xml:space="preserve">   120100</v>
      </c>
      <c r="B422" t="str">
        <f>T("   Fèves de soja, même concassées")</f>
        <v xml:space="preserve">   Fèves de soja, même concassées</v>
      </c>
      <c r="C422">
        <v>3000000</v>
      </c>
      <c r="D422">
        <v>20000</v>
      </c>
    </row>
    <row r="423" spans="1:4" x14ac:dyDescent="0.25">
      <c r="A423" t="str">
        <f>T("   120710")</f>
        <v xml:space="preserve">   120710</v>
      </c>
      <c r="B423" t="str">
        <f>T("   NOIX ET AMANDES DE PALMISTES")</f>
        <v xml:space="preserve">   NOIX ET AMANDES DE PALMISTES</v>
      </c>
      <c r="C423">
        <v>43293162</v>
      </c>
      <c r="D423">
        <v>525</v>
      </c>
    </row>
    <row r="424" spans="1:4" x14ac:dyDescent="0.25">
      <c r="A424" t="str">
        <f>T("   210690")</f>
        <v xml:space="preserve">   210690</v>
      </c>
      <c r="B424" t="str">
        <f>T("   Préparations alimentaires, n.d.a.")</f>
        <v xml:space="preserve">   Préparations alimentaires, n.d.a.</v>
      </c>
      <c r="C424">
        <v>8020641</v>
      </c>
      <c r="D424">
        <v>630</v>
      </c>
    </row>
    <row r="425" spans="1:4" x14ac:dyDescent="0.25">
      <c r="A425" t="str">
        <f>T("   230310")</f>
        <v xml:space="preserve">   230310</v>
      </c>
      <c r="B425" t="str">
        <f>T("   Résidus d'amidonnerie et résidus simil.")</f>
        <v xml:space="preserve">   Résidus d'amidonnerie et résidus simil.</v>
      </c>
      <c r="C425">
        <v>4800000</v>
      </c>
      <c r="D425">
        <v>30000</v>
      </c>
    </row>
    <row r="426" spans="1:4" x14ac:dyDescent="0.25">
      <c r="A426" t="str">
        <f>T("   230400")</f>
        <v xml:space="preserve">   230400</v>
      </c>
      <c r="B42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26">
        <v>264617855</v>
      </c>
      <c r="D426">
        <v>927571</v>
      </c>
    </row>
    <row r="427" spans="1:4" x14ac:dyDescent="0.25">
      <c r="A427" t="str">
        <f>T("   230610")</f>
        <v xml:space="preserve">   230610</v>
      </c>
      <c r="B42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27">
        <v>807087805</v>
      </c>
      <c r="D427">
        <v>4797066</v>
      </c>
    </row>
    <row r="428" spans="1:4" x14ac:dyDescent="0.25">
      <c r="A428" t="str">
        <f>T("   271320")</f>
        <v xml:space="preserve">   271320</v>
      </c>
      <c r="B428" t="str">
        <f>T("   Bitume de pétrole")</f>
        <v xml:space="preserve">   Bitume de pétrole</v>
      </c>
      <c r="C428">
        <v>2224000</v>
      </c>
      <c r="D428">
        <v>8000</v>
      </c>
    </row>
    <row r="429" spans="1:4" x14ac:dyDescent="0.25">
      <c r="A429" t="str">
        <f>T("   300490")</f>
        <v xml:space="preserve">   300490</v>
      </c>
      <c r="B429" t="s">
        <v>29</v>
      </c>
      <c r="C429">
        <v>84525530</v>
      </c>
      <c r="D429">
        <v>6364</v>
      </c>
    </row>
    <row r="430" spans="1:4" x14ac:dyDescent="0.25">
      <c r="A430" t="str">
        <f>T("   320820")</f>
        <v xml:space="preserve">   320820</v>
      </c>
      <c r="B430" t="s">
        <v>31</v>
      </c>
      <c r="C430">
        <v>10167207</v>
      </c>
      <c r="D430">
        <v>4680</v>
      </c>
    </row>
    <row r="431" spans="1:4" x14ac:dyDescent="0.25">
      <c r="A431" t="str">
        <f>T("   391723")</f>
        <v xml:space="preserve">   391723</v>
      </c>
      <c r="B431" t="str">
        <f>T("   TUBES ET TUYAUX RIGIDES, EN POLYMÈRES DU CHLORURE DE VINYLE")</f>
        <v xml:space="preserve">   TUBES ET TUYAUX RIGIDES, EN POLYMÈRES DU CHLORURE DE VINYLE</v>
      </c>
      <c r="C431">
        <v>17922835</v>
      </c>
      <c r="D431">
        <v>22229.32</v>
      </c>
    </row>
    <row r="432" spans="1:4" x14ac:dyDescent="0.25">
      <c r="A432" t="str">
        <f>T("   391729")</f>
        <v xml:space="preserve">   391729</v>
      </c>
      <c r="B432"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32">
        <v>264848</v>
      </c>
      <c r="D432">
        <v>2932</v>
      </c>
    </row>
    <row r="433" spans="1:4" x14ac:dyDescent="0.25">
      <c r="A433" t="str">
        <f>T("   391739")</f>
        <v xml:space="preserve">   391739</v>
      </c>
      <c r="B433"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433">
        <v>13917800</v>
      </c>
      <c r="D433">
        <v>35975.300000000003</v>
      </c>
    </row>
    <row r="434" spans="1:4" x14ac:dyDescent="0.25">
      <c r="A434" t="str">
        <f>T("   391990")</f>
        <v xml:space="preserve">   391990</v>
      </c>
      <c r="B434" t="s">
        <v>36</v>
      </c>
      <c r="C434">
        <v>1437500</v>
      </c>
      <c r="D434">
        <v>1281</v>
      </c>
    </row>
    <row r="435" spans="1:4" x14ac:dyDescent="0.25">
      <c r="A435" t="str">
        <f>T("   392310")</f>
        <v xml:space="preserve">   392310</v>
      </c>
      <c r="B435" t="str">
        <f>T("   Boîtes, caisses, casiers et articles simil. pour le transport ou l'emballage, en matières plastiques")</f>
        <v xml:space="preserve">   Boîtes, caisses, casiers et articles simil. pour le transport ou l'emballage, en matières plastiques</v>
      </c>
      <c r="C435">
        <v>1390000</v>
      </c>
      <c r="D435">
        <v>4950</v>
      </c>
    </row>
    <row r="436" spans="1:4" x14ac:dyDescent="0.25">
      <c r="A436" t="str">
        <f>T("   392329")</f>
        <v xml:space="preserve">   392329</v>
      </c>
      <c r="B436" t="str">
        <f>T("   Sacs, sachets, pochettes et cornets, en matières plastiques (autres que les polymères de l'éthylène)")</f>
        <v xml:space="preserve">   Sacs, sachets, pochettes et cornets, en matières plastiques (autres que les polymères de l'éthylène)</v>
      </c>
      <c r="C436">
        <v>3111612</v>
      </c>
      <c r="D436">
        <v>14000</v>
      </c>
    </row>
    <row r="437" spans="1:4" x14ac:dyDescent="0.25">
      <c r="A437" t="str">
        <f>T("   392330")</f>
        <v xml:space="preserve">   392330</v>
      </c>
      <c r="B437" t="str">
        <f>T("   Bonbonnes, bouteilles, flacons et articles simil. pour le transport ou l'emballage, en matières plastiques")</f>
        <v xml:space="preserve">   Bonbonnes, bouteilles, flacons et articles simil. pour le transport ou l'emballage, en matières plastiques</v>
      </c>
      <c r="C437">
        <v>1950000</v>
      </c>
      <c r="D437">
        <v>13000</v>
      </c>
    </row>
    <row r="438" spans="1:4" x14ac:dyDescent="0.25">
      <c r="A438" t="str">
        <f>T("   490700")</f>
        <v xml:space="preserve">   490700</v>
      </c>
      <c r="B438" t="s">
        <v>52</v>
      </c>
      <c r="C438">
        <v>4000000</v>
      </c>
      <c r="D438">
        <v>1700</v>
      </c>
    </row>
    <row r="439" spans="1:4" x14ac:dyDescent="0.25">
      <c r="A439" t="str">
        <f>T("   520812")</f>
        <v xml:space="preserve">   520812</v>
      </c>
      <c r="B439" t="str">
        <f>T("   Tissus de coton, écrus, à armure toile, contenant &gt;= 85% en poids de coton, d'un poids &gt; 100 g/m² mais &lt;= 200 g/m²")</f>
        <v xml:space="preserve">   Tissus de coton, écrus, à armure toile, contenant &gt;= 85% en poids de coton, d'un poids &gt; 100 g/m² mais &lt;= 200 g/m²</v>
      </c>
      <c r="C439">
        <v>1381689960</v>
      </c>
      <c r="D439">
        <v>470733</v>
      </c>
    </row>
    <row r="440" spans="1:4" x14ac:dyDescent="0.25">
      <c r="A440" t="str">
        <f>T("   720429")</f>
        <v xml:space="preserve">   720429</v>
      </c>
      <c r="B44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40">
        <v>2000000</v>
      </c>
      <c r="D440">
        <v>40000</v>
      </c>
    </row>
    <row r="441" spans="1:4" x14ac:dyDescent="0.25">
      <c r="A441" t="str">
        <f>T("   720430")</f>
        <v xml:space="preserve">   720430</v>
      </c>
      <c r="B44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441">
        <v>1000000</v>
      </c>
      <c r="D441">
        <v>20000</v>
      </c>
    </row>
    <row r="442" spans="1:4" x14ac:dyDescent="0.25">
      <c r="A442" t="str">
        <f>T("   720449")</f>
        <v xml:space="preserve">   720449</v>
      </c>
      <c r="B442" t="s">
        <v>64</v>
      </c>
      <c r="C442">
        <v>1500000</v>
      </c>
      <c r="D442">
        <v>30000</v>
      </c>
    </row>
    <row r="443" spans="1:4" x14ac:dyDescent="0.25">
      <c r="A443" t="str">
        <f>T("   721590")</f>
        <v xml:space="preserve">   721590</v>
      </c>
      <c r="B443"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443">
        <v>41300000</v>
      </c>
      <c r="D443">
        <v>140000</v>
      </c>
    </row>
    <row r="444" spans="1:4" x14ac:dyDescent="0.25">
      <c r="A444" t="str">
        <f>T("   730690")</f>
        <v xml:space="preserve">   730690</v>
      </c>
      <c r="B444" t="str">
        <f>T("   Tubes, tuyaux et profilés creux [p.ex. rivés, agrafés ou à bords simplement rapprochés], en fer ou en acier (sauf tubes sans soudure ou soudés et tubes de sections intérieure et extérieure circulaires et d'un diamètre extérieur &gt; 406,4 mm)")</f>
        <v xml:space="preserve">   Tubes, tuyaux et profilés creux [p.ex. rivés, agrafés ou à bords simplement rapprochés], en fer ou en acier (sauf tubes sans soudure ou soudés et tubes de sections intérieure et extérieure circulaires et d'un diamètre extérieur &gt; 406,4 mm)</v>
      </c>
      <c r="C444">
        <v>1023298</v>
      </c>
      <c r="D444">
        <v>552</v>
      </c>
    </row>
    <row r="445" spans="1:4" x14ac:dyDescent="0.25">
      <c r="A445" t="str">
        <f>T("   730799")</f>
        <v xml:space="preserve">   730799</v>
      </c>
      <c r="B445" t="str">
        <f>T("   Accessoires de tuyauterie, en fer ou aciers (autres que moulés ou en aciers inoxydables; sauf brides; coudes, courbes et manchons, filetés et sauf accessoires à souder bout à bout)")</f>
        <v xml:space="preserve">   Accessoires de tuyauterie, en fer ou aciers (autres que moulés ou en aciers inoxydables; sauf brides; coudes, courbes et manchons, filetés et sauf accessoires à souder bout à bout)</v>
      </c>
      <c r="C445">
        <v>369305</v>
      </c>
      <c r="D445">
        <v>200</v>
      </c>
    </row>
    <row r="446" spans="1:4" x14ac:dyDescent="0.25">
      <c r="A446" t="str">
        <f>T("   730840")</f>
        <v xml:space="preserve">   730840</v>
      </c>
      <c r="B446"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446">
        <v>1891515</v>
      </c>
      <c r="D446">
        <v>8315</v>
      </c>
    </row>
    <row r="447" spans="1:4" x14ac:dyDescent="0.25">
      <c r="A447" t="str">
        <f>T("   730890")</f>
        <v xml:space="preserve">   730890</v>
      </c>
      <c r="B447" t="s">
        <v>67</v>
      </c>
      <c r="C447">
        <v>41869271</v>
      </c>
      <c r="D447">
        <v>22580</v>
      </c>
    </row>
    <row r="448" spans="1:4" x14ac:dyDescent="0.25">
      <c r="A448" t="str">
        <f>T("   730900")</f>
        <v xml:space="preserve">   730900</v>
      </c>
      <c r="B448" t="s">
        <v>68</v>
      </c>
      <c r="C448">
        <v>1052816</v>
      </c>
      <c r="D448">
        <v>168</v>
      </c>
    </row>
    <row r="449" spans="1:4" x14ac:dyDescent="0.25">
      <c r="A449" t="str">
        <f>T("   732399")</f>
        <v xml:space="preserve">   732399</v>
      </c>
      <c r="B449" t="s">
        <v>73</v>
      </c>
      <c r="C449">
        <v>400000</v>
      </c>
      <c r="D449">
        <v>10000</v>
      </c>
    </row>
    <row r="450" spans="1:4" x14ac:dyDescent="0.25">
      <c r="A450" t="str">
        <f>T("   732690")</f>
        <v xml:space="preserve">   732690</v>
      </c>
      <c r="B45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50">
        <v>175797</v>
      </c>
      <c r="D450">
        <v>28</v>
      </c>
    </row>
    <row r="451" spans="1:4" x14ac:dyDescent="0.25">
      <c r="A451" t="str">
        <f>T("   820559")</f>
        <v xml:space="preserve">   820559</v>
      </c>
      <c r="B451" t="str">
        <f>T("   Outils à main, y.c. -les diamants de vitrier-, en métaux communs, n.d.a.")</f>
        <v xml:space="preserve">   Outils à main, y.c. -les diamants de vitrier-, en métaux communs, n.d.a.</v>
      </c>
      <c r="C451">
        <v>4705857</v>
      </c>
      <c r="D451">
        <v>1452</v>
      </c>
    </row>
    <row r="452" spans="1:4" x14ac:dyDescent="0.25">
      <c r="A452" t="str">
        <f>T("   841440")</f>
        <v xml:space="preserve">   841440</v>
      </c>
      <c r="B452" t="str">
        <f>T("   Compresseurs d'air montés sur châssis à roues et remorquables")</f>
        <v xml:space="preserve">   Compresseurs d'air montés sur châssis à roues et remorquables</v>
      </c>
      <c r="C452">
        <v>5615674</v>
      </c>
      <c r="D452">
        <v>900</v>
      </c>
    </row>
    <row r="453" spans="1:4" x14ac:dyDescent="0.25">
      <c r="A453" t="str">
        <f>T("   842519")</f>
        <v xml:space="preserve">   842519</v>
      </c>
      <c r="B453" t="str">
        <f>T("   Palans autres qu'à moteur électrique")</f>
        <v xml:space="preserve">   Palans autres qu'à moteur électrique</v>
      </c>
      <c r="C453">
        <v>81339</v>
      </c>
      <c r="D453">
        <v>15</v>
      </c>
    </row>
    <row r="454" spans="1:4" x14ac:dyDescent="0.25">
      <c r="A454" t="str">
        <f>T("   842542")</f>
        <v xml:space="preserve">   842542</v>
      </c>
      <c r="B454" t="str">
        <f>T("   Crics et vérins, hydrauliques (sauf élévateurs fixes des types utilisés dans les garages pour voitures)")</f>
        <v xml:space="preserve">   Crics et vérins, hydrauliques (sauf élévateurs fixes des types utilisés dans les garages pour voitures)</v>
      </c>
      <c r="C454">
        <v>61004</v>
      </c>
      <c r="D454">
        <v>12</v>
      </c>
    </row>
    <row r="455" spans="1:4" x14ac:dyDescent="0.25">
      <c r="A455" t="str">
        <f>T("   842620")</f>
        <v xml:space="preserve">   842620</v>
      </c>
      <c r="B455" t="str">
        <f>T("   Grues à tour")</f>
        <v xml:space="preserve">   Grues à tour</v>
      </c>
      <c r="C455">
        <v>13000000</v>
      </c>
      <c r="D455">
        <v>22000</v>
      </c>
    </row>
    <row r="456" spans="1:4" x14ac:dyDescent="0.25">
      <c r="A456" t="str">
        <f>T("   842790")</f>
        <v xml:space="preserve">   842790</v>
      </c>
      <c r="B456" t="str">
        <f>T("   Chariots de manutention munis d'un dispositif de levage mais non autopropulsés")</f>
        <v xml:space="preserve">   Chariots de manutention munis d'un dispositif de levage mais non autopropulsés</v>
      </c>
      <c r="C456">
        <v>7262135</v>
      </c>
      <c r="D456">
        <v>8531</v>
      </c>
    </row>
    <row r="457" spans="1:4" x14ac:dyDescent="0.25">
      <c r="A457" t="str">
        <f>T("   846090")</f>
        <v xml:space="preserve">   846090</v>
      </c>
      <c r="B457" t="s">
        <v>86</v>
      </c>
      <c r="C457">
        <v>179077</v>
      </c>
      <c r="D457">
        <v>34</v>
      </c>
    </row>
    <row r="458" spans="1:4" x14ac:dyDescent="0.25">
      <c r="A458" t="str">
        <f>T("   846120")</f>
        <v xml:space="preserve">   846120</v>
      </c>
      <c r="B458" t="str">
        <f>T("   Etaux-limeurs et machines à mortaiser, pour le travail des métaux")</f>
        <v xml:space="preserve">   Etaux-limeurs et machines à mortaiser, pour le travail des métaux</v>
      </c>
      <c r="C458">
        <v>46573</v>
      </c>
      <c r="D458">
        <v>9</v>
      </c>
    </row>
    <row r="459" spans="1:4" x14ac:dyDescent="0.25">
      <c r="A459" t="str">
        <f>T("   846390")</f>
        <v xml:space="preserve">   846390</v>
      </c>
      <c r="B459" t="s">
        <v>87</v>
      </c>
      <c r="C459">
        <v>195476</v>
      </c>
      <c r="D459">
        <v>37</v>
      </c>
    </row>
    <row r="460" spans="1:4" x14ac:dyDescent="0.25">
      <c r="A460" t="str">
        <f>T("   846810")</f>
        <v xml:space="preserve">   846810</v>
      </c>
      <c r="B460" t="str">
        <f>T("   Chalumeaux guidés à la main pour le brasage ou le soudage aux gaz")</f>
        <v xml:space="preserve">   Chalumeaux guidés à la main pour le brasage ou le soudage aux gaz</v>
      </c>
      <c r="C460">
        <v>137752</v>
      </c>
      <c r="D460">
        <v>26</v>
      </c>
    </row>
    <row r="461" spans="1:4" x14ac:dyDescent="0.25">
      <c r="A461" t="str">
        <f>T("   847480")</f>
        <v xml:space="preserve">   847480</v>
      </c>
      <c r="B461" t="s">
        <v>90</v>
      </c>
      <c r="C461">
        <v>350939</v>
      </c>
      <c r="D461">
        <v>56</v>
      </c>
    </row>
    <row r="462" spans="1:4" x14ac:dyDescent="0.25">
      <c r="A462" t="str">
        <f>T("   847989")</f>
        <v xml:space="preserve">   847989</v>
      </c>
      <c r="B462" t="str">
        <f>T("   Machines et appareils, y.c. les appareils mécaniques, n.d.a.")</f>
        <v xml:space="preserve">   Machines et appareils, y.c. les appareils mécaniques, n.d.a.</v>
      </c>
      <c r="C462">
        <v>6067630</v>
      </c>
      <c r="D462">
        <v>6500</v>
      </c>
    </row>
    <row r="463" spans="1:4" x14ac:dyDescent="0.25">
      <c r="A463" t="str">
        <f>T("   848490")</f>
        <v xml:space="preserve">   848490</v>
      </c>
      <c r="B463" t="str">
        <f>T("   Jeux ou assortiments de joints de composition différente présentés en pochettes, enveloppes ou emballages analogues")</f>
        <v xml:space="preserve">   Jeux ou assortiments de joints de composition différente présentés en pochettes, enveloppes ou emballages analogues</v>
      </c>
      <c r="C463">
        <v>1461479</v>
      </c>
      <c r="D463">
        <v>788</v>
      </c>
    </row>
    <row r="464" spans="1:4" x14ac:dyDescent="0.25">
      <c r="A464" t="str">
        <f>T("   850212")</f>
        <v xml:space="preserve">   850212</v>
      </c>
      <c r="B464"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464">
        <v>2579872</v>
      </c>
      <c r="D464">
        <v>2000</v>
      </c>
    </row>
    <row r="465" spans="1:4" x14ac:dyDescent="0.25">
      <c r="A465" t="str">
        <f>T("   851529")</f>
        <v xml:space="preserve">   851529</v>
      </c>
      <c r="B465" t="str">
        <f>T("   MACHINES ET APPAREILS POUR LE SOUDAGE DES MÉTAUX PAR RÉSISTANCE, NON-AUTOMATIQUES")</f>
        <v xml:space="preserve">   MACHINES ET APPAREILS POUR LE SOUDAGE DES MÉTAUX PAR RÉSISTANCE, NON-AUTOMATIQUES</v>
      </c>
      <c r="C465">
        <v>16657448</v>
      </c>
      <c r="D465">
        <v>3143</v>
      </c>
    </row>
    <row r="466" spans="1:4" x14ac:dyDescent="0.25">
      <c r="A466" t="str">
        <f>T("   851539")</f>
        <v xml:space="preserve">   851539</v>
      </c>
      <c r="B466" t="str">
        <f>T("   MACHINES ET APPAREILS POUR LE SOUDAGE DES MÉTAUX À L'ARC OU AU JET DE PLASMA, NON-AUTOMATIQUES")</f>
        <v xml:space="preserve">   MACHINES ET APPAREILS POUR LE SOUDAGE DES MÉTAUX À L'ARC OU AU JET DE PLASMA, NON-AUTOMATIQUES</v>
      </c>
      <c r="C466">
        <v>1379280</v>
      </c>
      <c r="D466">
        <v>5260</v>
      </c>
    </row>
    <row r="467" spans="1:4" x14ac:dyDescent="0.25">
      <c r="A467" t="str">
        <f>T("   853710")</f>
        <v xml:space="preserve">   853710</v>
      </c>
      <c r="B46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467">
        <v>880299</v>
      </c>
      <c r="D467">
        <v>166</v>
      </c>
    </row>
    <row r="468" spans="1:4" x14ac:dyDescent="0.25">
      <c r="A468" t="str">
        <f>T("   854810")</f>
        <v xml:space="preserve">   854810</v>
      </c>
      <c r="B468" t="str">
        <f>T("   Déchets et débris de piles, de batteries de piles et d'accumulateurs électriques; piles et batteries de piles électriques hors d'usage et accumulateurs électriques hors d'usage")</f>
        <v xml:space="preserve">   Déchets et débris de piles, de batteries de piles et d'accumulateurs électriques; piles et batteries de piles électriques hors d'usage et accumulateurs électriques hors d'usage</v>
      </c>
      <c r="C468">
        <v>1000000</v>
      </c>
      <c r="D468">
        <v>20000</v>
      </c>
    </row>
    <row r="469" spans="1:4" x14ac:dyDescent="0.25">
      <c r="A469" t="str">
        <f>T("   901890")</f>
        <v xml:space="preserve">   901890</v>
      </c>
      <c r="B469" t="str">
        <f>T("   Instruments et appareils pour la médecine, la chirurgie ou l'art vétérinaire, n.d.a.")</f>
        <v xml:space="preserve">   Instruments et appareils pour la médecine, la chirurgie ou l'art vétérinaire, n.d.a.</v>
      </c>
      <c r="C469">
        <v>17548898</v>
      </c>
      <c r="D469">
        <v>2803</v>
      </c>
    </row>
    <row r="470" spans="1:4" x14ac:dyDescent="0.25">
      <c r="A470" t="str">
        <f>T("GM")</f>
        <v>GM</v>
      </c>
      <c r="B470" t="str">
        <f>T("Gambie")</f>
        <v>Gambie</v>
      </c>
    </row>
    <row r="471" spans="1:4" x14ac:dyDescent="0.25">
      <c r="A471" t="str">
        <f>T("   ZZ_Total_Produit_SH6")</f>
        <v xml:space="preserve">   ZZ_Total_Produit_SH6</v>
      </c>
      <c r="B471" t="str">
        <f>T("   ZZ_Total_Produit_SH6")</f>
        <v xml:space="preserve">   ZZ_Total_Produit_SH6</v>
      </c>
      <c r="C471">
        <v>1481158</v>
      </c>
      <c r="D471">
        <v>1034</v>
      </c>
    </row>
    <row r="472" spans="1:4" x14ac:dyDescent="0.25">
      <c r="A472" t="str">
        <f>T("   630619")</f>
        <v xml:space="preserve">   630619</v>
      </c>
      <c r="B472" t="str">
        <f>T("   Bâches et stores d'extérieur de matières textiles (autres que de coton ou fibres synthétiques et sauf auvents plats en tissus légers, confectionnés selon le type de bâche)")</f>
        <v xml:space="preserve">   Bâches et stores d'extérieur de matières textiles (autres que de coton ou fibres synthétiques et sauf auvents plats en tissus légers, confectionnés selon le type de bâche)</v>
      </c>
      <c r="C472">
        <v>655960</v>
      </c>
      <c r="D472">
        <v>80</v>
      </c>
    </row>
    <row r="473" spans="1:4" x14ac:dyDescent="0.25">
      <c r="A473" t="str">
        <f>T("   843240")</f>
        <v xml:space="preserve">   843240</v>
      </c>
      <c r="B473" t="str">
        <f>T("   ÉPANDEURS DE FUMIER ET DISTRIBUTEURS D'ENGRAIS POUR L'AGRICULTURE, LA SYLVICULTURE OU L'HORTICULTURE")</f>
        <v xml:space="preserve">   ÉPANDEURS DE FUMIER ET DISTRIBUTEURS D'ENGRAIS POUR L'AGRICULTURE, LA SYLVICULTURE OU L'HORTICULTURE</v>
      </c>
      <c r="C473">
        <v>825198</v>
      </c>
      <c r="D473">
        <v>954</v>
      </c>
    </row>
    <row r="474" spans="1:4" x14ac:dyDescent="0.25">
      <c r="A474" t="str">
        <f>T("GN")</f>
        <v>GN</v>
      </c>
      <c r="B474" t="str">
        <f>T("Guinée")</f>
        <v>Guinée</v>
      </c>
    </row>
    <row r="475" spans="1:4" x14ac:dyDescent="0.25">
      <c r="A475" t="str">
        <f>T("   ZZ_Total_Produit_SH6")</f>
        <v xml:space="preserve">   ZZ_Total_Produit_SH6</v>
      </c>
      <c r="B475" t="str">
        <f>T("   ZZ_Total_Produit_SH6")</f>
        <v xml:space="preserve">   ZZ_Total_Produit_SH6</v>
      </c>
      <c r="C475">
        <v>21725277</v>
      </c>
      <c r="D475">
        <v>294729</v>
      </c>
    </row>
    <row r="476" spans="1:4" x14ac:dyDescent="0.25">
      <c r="A476" t="str">
        <f>T("   401290")</f>
        <v xml:space="preserve">   401290</v>
      </c>
      <c r="B476" t="str">
        <f>T("   Bandages pleins ou creux [mi-pleins], bandes de roulement amovibles pour pneumatiques et flaps, en caoutchouc")</f>
        <v xml:space="preserve">   Bandages pleins ou creux [mi-pleins], bandes de roulement amovibles pour pneumatiques et flaps, en caoutchouc</v>
      </c>
      <c r="C476">
        <v>223026</v>
      </c>
      <c r="D476">
        <v>2774</v>
      </c>
    </row>
    <row r="477" spans="1:4" x14ac:dyDescent="0.25">
      <c r="A477" t="str">
        <f>T("   620590")</f>
        <v xml:space="preserve">   620590</v>
      </c>
      <c r="B47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77">
        <v>300000</v>
      </c>
      <c r="D477">
        <v>1000</v>
      </c>
    </row>
    <row r="478" spans="1:4" x14ac:dyDescent="0.25">
      <c r="A478" t="str">
        <f>T("   732394")</f>
        <v xml:space="preserve">   732394</v>
      </c>
      <c r="B478" t="s">
        <v>72</v>
      </c>
      <c r="C478">
        <v>500000</v>
      </c>
      <c r="D478">
        <v>1500</v>
      </c>
    </row>
    <row r="479" spans="1:4" x14ac:dyDescent="0.25">
      <c r="A479" t="str">
        <f>T("   840590")</f>
        <v xml:space="preserve">   840590</v>
      </c>
      <c r="B479" t="str">
        <f>T("   Parties des générateurs de gaz à l'air ou de gaz à l'eau et des générateurs d'acétylène ou des générateurs simil. de gaz par procédé à l'eau, n.d.a.")</f>
        <v xml:space="preserve">   Parties des générateurs de gaz à l'air ou de gaz à l'eau et des générateurs d'acétylène ou des générateurs simil. de gaz par procédé à l'eau, n.d.a.</v>
      </c>
      <c r="C479">
        <v>1364437</v>
      </c>
      <c r="D479">
        <v>16800</v>
      </c>
    </row>
    <row r="480" spans="1:4" x14ac:dyDescent="0.25">
      <c r="A480" t="str">
        <f>T("   840890")</f>
        <v xml:space="preserve">   840890</v>
      </c>
      <c r="B480" t="s">
        <v>80</v>
      </c>
      <c r="C480">
        <v>300000</v>
      </c>
      <c r="D480">
        <v>200</v>
      </c>
    </row>
    <row r="481" spans="1:4" x14ac:dyDescent="0.25">
      <c r="A481" t="str">
        <f>T("   841430")</f>
        <v xml:space="preserve">   841430</v>
      </c>
      <c r="B481" t="str">
        <f>T("   Compresseurs des types utilisés pour équipements frigorifiques")</f>
        <v xml:space="preserve">   Compresseurs des types utilisés pour équipements frigorifiques</v>
      </c>
      <c r="C481">
        <v>459172</v>
      </c>
      <c r="D481">
        <v>1881</v>
      </c>
    </row>
    <row r="482" spans="1:4" x14ac:dyDescent="0.25">
      <c r="A482" t="str">
        <f>T("   841510")</f>
        <v xml:space="preserve">   841510</v>
      </c>
      <c r="B482" t="s">
        <v>82</v>
      </c>
      <c r="C482">
        <v>530000</v>
      </c>
      <c r="D482">
        <v>280</v>
      </c>
    </row>
    <row r="483" spans="1:4" x14ac:dyDescent="0.25">
      <c r="A483" t="str">
        <f>T("   842820")</f>
        <v xml:space="preserve">   842820</v>
      </c>
      <c r="B483" t="str">
        <f>T("   Appareils élévateurs ou transporteurs, pneumatiques")</f>
        <v xml:space="preserve">   Appareils élévateurs ou transporteurs, pneumatiques</v>
      </c>
      <c r="C483">
        <v>524768</v>
      </c>
      <c r="D483">
        <v>4431</v>
      </c>
    </row>
    <row r="484" spans="1:4" x14ac:dyDescent="0.25">
      <c r="A484" t="str">
        <f>T("   842959")</f>
        <v xml:space="preserve">   842959</v>
      </c>
      <c r="B484"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484">
        <v>3866852</v>
      </c>
      <c r="D484">
        <v>114000</v>
      </c>
    </row>
    <row r="485" spans="1:4" x14ac:dyDescent="0.25">
      <c r="A485" t="str">
        <f>T("   843069")</f>
        <v xml:space="preserve">   843069</v>
      </c>
      <c r="B485"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485">
        <v>3112903</v>
      </c>
      <c r="D485">
        <v>96650</v>
      </c>
    </row>
    <row r="486" spans="1:4" x14ac:dyDescent="0.25">
      <c r="A486" t="str">
        <f>T("   847220")</f>
        <v xml:space="preserve">   847220</v>
      </c>
      <c r="B486" t="s">
        <v>89</v>
      </c>
      <c r="C486">
        <v>250000</v>
      </c>
      <c r="D486">
        <v>250</v>
      </c>
    </row>
    <row r="487" spans="1:4" x14ac:dyDescent="0.25">
      <c r="A487" t="str">
        <f>T("   850239")</f>
        <v xml:space="preserve">   850239</v>
      </c>
      <c r="B487" t="str">
        <f>T("   Groupes électrogènes (autres qu'à énergie éolienne et à moteurs à piston)")</f>
        <v xml:space="preserve">   Groupes électrogènes (autres qu'à énergie éolienne et à moteurs à piston)</v>
      </c>
      <c r="C487">
        <v>1243045</v>
      </c>
      <c r="D487">
        <v>8013</v>
      </c>
    </row>
    <row r="488" spans="1:4" x14ac:dyDescent="0.25">
      <c r="A488" t="str">
        <f>T("   870322")</f>
        <v xml:space="preserve">   870322</v>
      </c>
      <c r="B488" t="s">
        <v>97</v>
      </c>
      <c r="C488">
        <v>1200000</v>
      </c>
      <c r="D488">
        <v>1450</v>
      </c>
    </row>
    <row r="489" spans="1:4" x14ac:dyDescent="0.25">
      <c r="A489" t="str">
        <f>T("   870421")</f>
        <v xml:space="preserve">   870421</v>
      </c>
      <c r="B489" t="s">
        <v>102</v>
      </c>
      <c r="C489">
        <v>1244582</v>
      </c>
      <c r="D489">
        <v>24000</v>
      </c>
    </row>
    <row r="490" spans="1:4" x14ac:dyDescent="0.25">
      <c r="A490" t="str">
        <f>T("   870422")</f>
        <v xml:space="preserve">   870422</v>
      </c>
      <c r="B490" t="s">
        <v>103</v>
      </c>
      <c r="C490">
        <v>5406492</v>
      </c>
      <c r="D490">
        <v>19000</v>
      </c>
    </row>
    <row r="491" spans="1:4" x14ac:dyDescent="0.25">
      <c r="A491" t="str">
        <f>T("   940350")</f>
        <v xml:space="preserve">   940350</v>
      </c>
      <c r="B491" t="str">
        <f>T("   Meubles pour chambres à coucher, en bois (sauf sièges)")</f>
        <v xml:space="preserve">   Meubles pour chambres à coucher, en bois (sauf sièges)</v>
      </c>
      <c r="C491">
        <v>1200000</v>
      </c>
      <c r="D491">
        <v>2500</v>
      </c>
    </row>
    <row r="492" spans="1:4" x14ac:dyDescent="0.25">
      <c r="A492" t="str">
        <f>T("GP")</f>
        <v>GP</v>
      </c>
      <c r="B492" t="str">
        <f>T("Guadeloupe")</f>
        <v>Guadeloupe</v>
      </c>
    </row>
    <row r="493" spans="1:4" x14ac:dyDescent="0.25">
      <c r="A493" t="str">
        <f>T("   ZZ_Total_Produit_SH6")</f>
        <v xml:space="preserve">   ZZ_Total_Produit_SH6</v>
      </c>
      <c r="B493" t="str">
        <f>T("   ZZ_Total_Produit_SH6")</f>
        <v xml:space="preserve">   ZZ_Total_Produit_SH6</v>
      </c>
      <c r="C493">
        <v>5490000</v>
      </c>
      <c r="D493">
        <v>7250</v>
      </c>
    </row>
    <row r="494" spans="1:4" x14ac:dyDescent="0.25">
      <c r="A494" t="str">
        <f>T("   620590")</f>
        <v xml:space="preserve">   620590</v>
      </c>
      <c r="B4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94">
        <v>700000</v>
      </c>
      <c r="D494">
        <v>600</v>
      </c>
    </row>
    <row r="495" spans="1:4" x14ac:dyDescent="0.25">
      <c r="A495" t="str">
        <f>T("   732394")</f>
        <v xml:space="preserve">   732394</v>
      </c>
      <c r="B495" t="s">
        <v>72</v>
      </c>
      <c r="C495">
        <v>500000</v>
      </c>
      <c r="D495">
        <v>800</v>
      </c>
    </row>
    <row r="496" spans="1:4" x14ac:dyDescent="0.25">
      <c r="A496" t="str">
        <f>T("   871120")</f>
        <v xml:space="preserve">   871120</v>
      </c>
      <c r="B496" t="str">
        <f>T("   Motocycles à moteur à piston alternatif, cylindrée &gt; 50 cm³ mais &lt;= 250 cm³")</f>
        <v xml:space="preserve">   Motocycles à moteur à piston alternatif, cylindrée &gt; 50 cm³ mais &lt;= 250 cm³</v>
      </c>
      <c r="C496">
        <v>590000</v>
      </c>
      <c r="D496">
        <v>800</v>
      </c>
    </row>
    <row r="497" spans="1:4" x14ac:dyDescent="0.25">
      <c r="A497" t="str">
        <f>T("   940350")</f>
        <v xml:space="preserve">   940350</v>
      </c>
      <c r="B497" t="str">
        <f>T("   Meubles pour chambres à coucher, en bois (sauf sièges)")</f>
        <v xml:space="preserve">   Meubles pour chambres à coucher, en bois (sauf sièges)</v>
      </c>
      <c r="C497">
        <v>1300000</v>
      </c>
      <c r="D497">
        <v>2600</v>
      </c>
    </row>
    <row r="498" spans="1:4" x14ac:dyDescent="0.25">
      <c r="A498" t="str">
        <f>T("   940360")</f>
        <v xml:space="preserve">   940360</v>
      </c>
      <c r="B498" t="str">
        <f>T("   Meubles en bois (autres que pour bureaux, cuisines ou chambres à coucher et autres que sièges)")</f>
        <v xml:space="preserve">   Meubles en bois (autres que pour bureaux, cuisines ou chambres à coucher et autres que sièges)</v>
      </c>
      <c r="C498">
        <v>2400000</v>
      </c>
      <c r="D498">
        <v>2450</v>
      </c>
    </row>
    <row r="499" spans="1:4" x14ac:dyDescent="0.25">
      <c r="A499" t="str">
        <f>T("GQ")</f>
        <v>GQ</v>
      </c>
      <c r="B499" t="str">
        <f>T("Guinée Equatoriale")</f>
        <v>Guinée Equatoriale</v>
      </c>
    </row>
    <row r="500" spans="1:4" x14ac:dyDescent="0.25">
      <c r="A500" t="str">
        <f>T("   ZZ_Total_Produit_SH6")</f>
        <v xml:space="preserve">   ZZ_Total_Produit_SH6</v>
      </c>
      <c r="B500" t="str">
        <f>T("   ZZ_Total_Produit_SH6")</f>
        <v xml:space="preserve">   ZZ_Total_Produit_SH6</v>
      </c>
      <c r="C500">
        <v>123488710</v>
      </c>
      <c r="D500">
        <v>146217</v>
      </c>
    </row>
    <row r="501" spans="1:4" x14ac:dyDescent="0.25">
      <c r="A501" t="str">
        <f>T("   110620")</f>
        <v xml:space="preserve">   110620</v>
      </c>
      <c r="B501" t="str">
        <f>T("   Farines, semoules et poudres de sagou ou des racines ou tubercules du n° 0714")</f>
        <v xml:space="preserve">   Farines, semoules et poudres de sagou ou des racines ou tubercules du n° 0714</v>
      </c>
      <c r="C501">
        <v>150000</v>
      </c>
      <c r="D501">
        <v>1000</v>
      </c>
    </row>
    <row r="502" spans="1:4" x14ac:dyDescent="0.25">
      <c r="A502" t="str">
        <f>T("   300450")</f>
        <v xml:space="preserve">   300450</v>
      </c>
      <c r="B502" t="s">
        <v>28</v>
      </c>
      <c r="C502">
        <v>34318133</v>
      </c>
      <c r="D502">
        <v>5000</v>
      </c>
    </row>
    <row r="503" spans="1:4" x14ac:dyDescent="0.25">
      <c r="A503" t="str">
        <f>T("   300490")</f>
        <v xml:space="preserve">   300490</v>
      </c>
      <c r="B503" t="s">
        <v>29</v>
      </c>
      <c r="C503">
        <v>25999000</v>
      </c>
      <c r="D503">
        <v>2360</v>
      </c>
    </row>
    <row r="504" spans="1:4" x14ac:dyDescent="0.25">
      <c r="A504" t="str">
        <f>T("   330499")</f>
        <v xml:space="preserve">   330499</v>
      </c>
      <c r="B504" t="s">
        <v>33</v>
      </c>
      <c r="C504">
        <v>1110025</v>
      </c>
      <c r="D504">
        <v>1045</v>
      </c>
    </row>
    <row r="505" spans="1:4" x14ac:dyDescent="0.25">
      <c r="A505" t="str">
        <f>T("   401211")</f>
        <v xml:space="preserve">   401211</v>
      </c>
      <c r="B505" t="str">
        <f>T("   Pneumatiques rechapés, en caoutchouc, des types utilisés pour les voitures de tourisme, y.c. les voitures du type 'break' et les voitures de course")</f>
        <v xml:space="preserve">   Pneumatiques rechapés, en caoutchouc, des types utilisés pour les voitures de tourisme, y.c. les voitures du type 'break' et les voitures de course</v>
      </c>
      <c r="C505">
        <v>3000000</v>
      </c>
      <c r="D505">
        <v>8000</v>
      </c>
    </row>
    <row r="506" spans="1:4" x14ac:dyDescent="0.25">
      <c r="A506" t="str">
        <f>T("   660110")</f>
        <v xml:space="preserve">   660110</v>
      </c>
      <c r="B506" t="str">
        <f>T("   Parasols de jardin et articles simil. (sauf tentes de plage)")</f>
        <v xml:space="preserve">   Parasols de jardin et articles simil. (sauf tentes de plage)</v>
      </c>
      <c r="C506">
        <v>370000</v>
      </c>
      <c r="D506">
        <v>40</v>
      </c>
    </row>
    <row r="507" spans="1:4" x14ac:dyDescent="0.25">
      <c r="A507" t="str">
        <f>T("   691200")</f>
        <v xml:space="preserve">   691200</v>
      </c>
      <c r="B507" t="s">
        <v>61</v>
      </c>
      <c r="C507">
        <v>242000</v>
      </c>
      <c r="D507">
        <v>200</v>
      </c>
    </row>
    <row r="508" spans="1:4" x14ac:dyDescent="0.25">
      <c r="A508" t="str">
        <f>T("   700490")</f>
        <v xml:space="preserve">   700490</v>
      </c>
      <c r="B508" t="str">
        <f>T("   FEUILLES EN VERRE ÉTIRÉ OU SOUFFLÉ MAIS NON AUTREMENT TRAVAILLÉ (AUTRES QU'EN VERRE COLORÉ DANS LA MASSE, OPACIFIÉ, PLAQUÉ [DOUBLÉ], OU À COUCHE ABSORBANTE, RÉFLÉCHISSANTE OU NON-RÉFLÉCHISSANTE)")</f>
        <v xml:space="preserve">   FEUILLES EN VERRE ÉTIRÉ OU SOUFFLÉ MAIS NON AUTREMENT TRAVAILLÉ (AUTRES QU'EN VERRE COLORÉ DANS LA MASSE, OPACIFIÉ, PLAQUÉ [DOUBLÉ], OU À COUCHE ABSORBANTE, RÉFLÉCHISSANTE OU NON-RÉFLÉCHISSANTE)</v>
      </c>
      <c r="C508">
        <v>1655000</v>
      </c>
      <c r="D508">
        <v>480</v>
      </c>
    </row>
    <row r="509" spans="1:4" x14ac:dyDescent="0.25">
      <c r="A509" t="str">
        <f>T("   730820")</f>
        <v xml:space="preserve">   730820</v>
      </c>
      <c r="B509" t="str">
        <f>T("   Tours et pylônes, en fer ou en acier")</f>
        <v xml:space="preserve">   Tours et pylônes, en fer ou en acier</v>
      </c>
      <c r="C509">
        <v>14625000</v>
      </c>
      <c r="D509">
        <v>110000</v>
      </c>
    </row>
    <row r="510" spans="1:4" x14ac:dyDescent="0.25">
      <c r="A510" t="str">
        <f>T("   732112")</f>
        <v xml:space="preserve">   732112</v>
      </c>
      <c r="B510" t="s">
        <v>70</v>
      </c>
      <c r="C510">
        <v>168300</v>
      </c>
      <c r="D510">
        <v>265</v>
      </c>
    </row>
    <row r="511" spans="1:4" x14ac:dyDescent="0.25">
      <c r="A511" t="str">
        <f>T("   761090")</f>
        <v xml:space="preserve">   761090</v>
      </c>
      <c r="B511" t="str">
        <f>T("   Constructions et parties de constructions, en aluminium, n.d.a., ainsi que tôles, barres, profilés, tubes, tuyaux et simil., en aluminium, n.d.a; (sauf constructions préfabriquées du n° 9406, portes, fenêtres et leurs cadres, chambranles et seuils)")</f>
        <v xml:space="preserve">   Constructions et parties de constructions, en aluminium, n.d.a., ainsi que tôles, barres, profilés, tubes, tuyaux et simil., en aluminium, n.d.a; (sauf constructions préfabriquées du n° 9406, portes, fenêtres et leurs cadres, chambranles et seuils)</v>
      </c>
      <c r="C511">
        <v>810000</v>
      </c>
      <c r="D511">
        <v>520</v>
      </c>
    </row>
    <row r="512" spans="1:4" x14ac:dyDescent="0.25">
      <c r="A512" t="str">
        <f>T("   820600")</f>
        <v xml:space="preserve">   820600</v>
      </c>
      <c r="B512" t="str">
        <f>T("   Outils d'au moins deux du n° 8202 à 8205, conditionnés en assortiments pour la vente au détail")</f>
        <v xml:space="preserve">   Outils d'au moins deux du n° 8202 à 8205, conditionnés en assortiments pour la vente au détail</v>
      </c>
      <c r="C512">
        <v>147000</v>
      </c>
      <c r="D512">
        <v>150</v>
      </c>
    </row>
    <row r="513" spans="1:4" x14ac:dyDescent="0.25">
      <c r="A513" t="str">
        <f>T("   830140")</f>
        <v xml:space="preserve">   830140</v>
      </c>
      <c r="B513" t="str">
        <f>T("   Serrures et verrous, en métaux communs (autres que cadenas et serrures des types utilisés pour véhicules automobiles ou meubles)")</f>
        <v xml:space="preserve">   Serrures et verrous, en métaux communs (autres que cadenas et serrures des types utilisés pour véhicules automobiles ou meubles)</v>
      </c>
      <c r="C513">
        <v>144500</v>
      </c>
      <c r="D513">
        <v>250</v>
      </c>
    </row>
    <row r="514" spans="1:4" x14ac:dyDescent="0.25">
      <c r="A514" t="str">
        <f>T("   840734")</f>
        <v xml:space="preserve">   840734</v>
      </c>
      <c r="B514" t="s">
        <v>78</v>
      </c>
      <c r="C514">
        <v>1370000</v>
      </c>
      <c r="D514">
        <v>260</v>
      </c>
    </row>
    <row r="515" spans="1:4" x14ac:dyDescent="0.25">
      <c r="A515" t="str">
        <f>T("   850211")</f>
        <v xml:space="preserve">   850211</v>
      </c>
      <c r="B515" t="s">
        <v>91</v>
      </c>
      <c r="C515">
        <v>1620000</v>
      </c>
      <c r="D515">
        <v>500</v>
      </c>
    </row>
    <row r="516" spans="1:4" x14ac:dyDescent="0.25">
      <c r="A516" t="str">
        <f>T("   870322")</f>
        <v xml:space="preserve">   870322</v>
      </c>
      <c r="B516" t="s">
        <v>97</v>
      </c>
      <c r="C516">
        <v>10526892</v>
      </c>
      <c r="D516">
        <v>4485</v>
      </c>
    </row>
    <row r="517" spans="1:4" x14ac:dyDescent="0.25">
      <c r="A517" t="str">
        <f>T("   870323")</f>
        <v xml:space="preserve">   870323</v>
      </c>
      <c r="B517" t="s">
        <v>98</v>
      </c>
      <c r="C517">
        <v>11608344</v>
      </c>
      <c r="D517">
        <v>3880</v>
      </c>
    </row>
    <row r="518" spans="1:4" x14ac:dyDescent="0.25">
      <c r="A518" t="str">
        <f>T("   870421")</f>
        <v xml:space="preserve">   870421</v>
      </c>
      <c r="B518" t="s">
        <v>102</v>
      </c>
      <c r="C518">
        <v>4476916</v>
      </c>
      <c r="D518">
        <v>4796</v>
      </c>
    </row>
    <row r="519" spans="1:4" x14ac:dyDescent="0.25">
      <c r="A519" t="str">
        <f>T("   871120")</f>
        <v xml:space="preserve">   871120</v>
      </c>
      <c r="B519" t="str">
        <f>T("   Motocycles à moteur à piston alternatif, cylindrée &gt; 50 cm³ mais &lt;= 250 cm³")</f>
        <v xml:space="preserve">   Motocycles à moteur à piston alternatif, cylindrée &gt; 50 cm³ mais &lt;= 250 cm³</v>
      </c>
      <c r="C519">
        <v>2190000</v>
      </c>
      <c r="D519">
        <v>1196</v>
      </c>
    </row>
    <row r="520" spans="1:4" x14ac:dyDescent="0.25">
      <c r="A520" t="str">
        <f>T("   940380")</f>
        <v xml:space="preserve">   940380</v>
      </c>
      <c r="B520" t="str">
        <f>T("   Meubles en rotin, osier, bambou ou autres matières (sauf métal, bois et matières plastiques)")</f>
        <v xml:space="preserve">   Meubles en rotin, osier, bambou ou autres matières (sauf métal, bois et matières plastiques)</v>
      </c>
      <c r="C520">
        <v>8337600</v>
      </c>
      <c r="D520">
        <v>640</v>
      </c>
    </row>
    <row r="521" spans="1:4" x14ac:dyDescent="0.25">
      <c r="A521" t="str">
        <f>T("   960990")</f>
        <v xml:space="preserve">   960990</v>
      </c>
      <c r="B521" t="str">
        <f>T("   Crayons (sauf crayons à gaine), pastels, fusains, craies à écrire ou à dessiner et craies de tailleurs")</f>
        <v xml:space="preserve">   Crayons (sauf crayons à gaine), pastels, fusains, craies à écrire ou à dessiner et craies de tailleurs</v>
      </c>
      <c r="C521">
        <v>170000</v>
      </c>
      <c r="D521">
        <v>950</v>
      </c>
    </row>
    <row r="522" spans="1:4" x14ac:dyDescent="0.25">
      <c r="A522" t="str">
        <f>T("   970110")</f>
        <v xml:space="preserve">   970110</v>
      </c>
      <c r="B522"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522">
        <v>450000</v>
      </c>
      <c r="D522">
        <v>200</v>
      </c>
    </row>
    <row r="523" spans="1:4" x14ac:dyDescent="0.25">
      <c r="A523" t="str">
        <f>T("GR")</f>
        <v>GR</v>
      </c>
      <c r="B523" t="str">
        <f>T("Grèce")</f>
        <v>Grèce</v>
      </c>
    </row>
    <row r="524" spans="1:4" x14ac:dyDescent="0.25">
      <c r="A524" t="str">
        <f>T("   ZZ_Total_Produit_SH6")</f>
        <v xml:space="preserve">   ZZ_Total_Produit_SH6</v>
      </c>
      <c r="B524" t="str">
        <f>T("   ZZ_Total_Produit_SH6")</f>
        <v xml:space="preserve">   ZZ_Total_Produit_SH6</v>
      </c>
      <c r="C524">
        <v>372242247</v>
      </c>
      <c r="D524">
        <v>266760</v>
      </c>
    </row>
    <row r="525" spans="1:4" x14ac:dyDescent="0.25">
      <c r="A525" t="str">
        <f>T("   520100")</f>
        <v xml:space="preserve">   520100</v>
      </c>
      <c r="B525" t="str">
        <f>T("   COTON, NON-CARDÉ NI PEIGNÉ")</f>
        <v xml:space="preserve">   COTON, NON-CARDÉ NI PEIGNÉ</v>
      </c>
      <c r="C525">
        <v>368773222</v>
      </c>
      <c r="D525">
        <v>210962</v>
      </c>
    </row>
    <row r="526" spans="1:4" x14ac:dyDescent="0.25">
      <c r="A526" t="str">
        <f>T("   720430")</f>
        <v xml:space="preserve">   720430</v>
      </c>
      <c r="B526"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26">
        <v>750000</v>
      </c>
      <c r="D526">
        <v>15000</v>
      </c>
    </row>
    <row r="527" spans="1:4" x14ac:dyDescent="0.25">
      <c r="A527" t="str">
        <f>T("   720449")</f>
        <v xml:space="preserve">   720449</v>
      </c>
      <c r="B527" t="s">
        <v>64</v>
      </c>
      <c r="C527">
        <v>2000000</v>
      </c>
      <c r="D527">
        <v>40000</v>
      </c>
    </row>
    <row r="528" spans="1:4" x14ac:dyDescent="0.25">
      <c r="A528" t="str">
        <f>T("   848590")</f>
        <v xml:space="preserve">   848590</v>
      </c>
      <c r="B528" t="str">
        <f>T("   Parties de machines et appareils du chapitre 84, sans caractéristiques spéciales d'utilisation, n.d.a.")</f>
        <v xml:space="preserve">   Parties de machines et appareils du chapitre 84, sans caractéristiques spéciales d'utilisation, n.d.a.</v>
      </c>
      <c r="C528">
        <v>719025</v>
      </c>
      <c r="D528">
        <v>798</v>
      </c>
    </row>
    <row r="529" spans="1:4" x14ac:dyDescent="0.25">
      <c r="A529" t="str">
        <f>T("GW")</f>
        <v>GW</v>
      </c>
      <c r="B529" t="str">
        <f>T("Guinée-Bissau")</f>
        <v>Guinée-Bissau</v>
      </c>
    </row>
    <row r="530" spans="1:4" x14ac:dyDescent="0.25">
      <c r="A530" t="str">
        <f>T("   ZZ_Total_Produit_SH6")</f>
        <v xml:space="preserve">   ZZ_Total_Produit_SH6</v>
      </c>
      <c r="B530" t="str">
        <f>T("   ZZ_Total_Produit_SH6")</f>
        <v xml:space="preserve">   ZZ_Total_Produit_SH6</v>
      </c>
      <c r="C530">
        <v>27550194</v>
      </c>
      <c r="D530">
        <v>275</v>
      </c>
    </row>
    <row r="531" spans="1:4" x14ac:dyDescent="0.25">
      <c r="A531" t="str">
        <f>T("   120710")</f>
        <v xml:space="preserve">   120710</v>
      </c>
      <c r="B531" t="str">
        <f>T("   NOIX ET AMANDES DE PALMISTES")</f>
        <v xml:space="preserve">   NOIX ET AMANDES DE PALMISTES</v>
      </c>
      <c r="C531">
        <v>27550194</v>
      </c>
      <c r="D531">
        <v>275</v>
      </c>
    </row>
    <row r="532" spans="1:4" x14ac:dyDescent="0.25">
      <c r="A532" t="str">
        <f>T("HK")</f>
        <v>HK</v>
      </c>
      <c r="B532" t="str">
        <f>T("Hong-Kong")</f>
        <v>Hong-Kong</v>
      </c>
    </row>
    <row r="533" spans="1:4" x14ac:dyDescent="0.25">
      <c r="A533" t="str">
        <f>T("   ZZ_Total_Produit_SH6")</f>
        <v xml:space="preserve">   ZZ_Total_Produit_SH6</v>
      </c>
      <c r="B533" t="str">
        <f>T("   ZZ_Total_Produit_SH6")</f>
        <v xml:space="preserve">   ZZ_Total_Produit_SH6</v>
      </c>
      <c r="C533">
        <v>366243971</v>
      </c>
      <c r="D533">
        <v>1042580</v>
      </c>
    </row>
    <row r="534" spans="1:4" x14ac:dyDescent="0.25">
      <c r="A534" t="str">
        <f>T("   080131")</f>
        <v xml:space="preserve">   080131</v>
      </c>
      <c r="B534" t="str">
        <f>T("   Noix de cajou, fraîches ou sèches, en coques")</f>
        <v xml:space="preserve">   Noix de cajou, fraîches ou sèches, en coques</v>
      </c>
      <c r="C534">
        <v>364443971</v>
      </c>
      <c r="D534">
        <v>1030580</v>
      </c>
    </row>
    <row r="535" spans="1:4" x14ac:dyDescent="0.25">
      <c r="A535" t="str">
        <f>T("   120710")</f>
        <v xml:space="preserve">   120710</v>
      </c>
      <c r="B535" t="str">
        <f>T("   NOIX ET AMANDES DE PALMISTES")</f>
        <v xml:space="preserve">   NOIX ET AMANDES DE PALMISTES</v>
      </c>
      <c r="C535">
        <v>1800000</v>
      </c>
      <c r="D535">
        <v>12000</v>
      </c>
    </row>
    <row r="536" spans="1:4" x14ac:dyDescent="0.25">
      <c r="A536" t="str">
        <f>T("ID")</f>
        <v>ID</v>
      </c>
      <c r="B536" t="str">
        <f>T("Indonésie")</f>
        <v>Indonésie</v>
      </c>
    </row>
    <row r="537" spans="1:4" x14ac:dyDescent="0.25">
      <c r="A537" t="str">
        <f>T("   ZZ_Total_Produit_SH6")</f>
        <v xml:space="preserve">   ZZ_Total_Produit_SH6</v>
      </c>
      <c r="B537" t="str">
        <f>T("   ZZ_Total_Produit_SH6")</f>
        <v xml:space="preserve">   ZZ_Total_Produit_SH6</v>
      </c>
      <c r="C537">
        <v>11155740655</v>
      </c>
      <c r="D537">
        <v>17372265</v>
      </c>
    </row>
    <row r="538" spans="1:4" x14ac:dyDescent="0.25">
      <c r="A538" t="str">
        <f>T("   080131")</f>
        <v xml:space="preserve">   080131</v>
      </c>
      <c r="B538" t="str">
        <f>T("   Noix de cajou, fraîches ou sèches, en coques")</f>
        <v xml:space="preserve">   Noix de cajou, fraîches ou sèches, en coques</v>
      </c>
      <c r="C538">
        <v>900000</v>
      </c>
      <c r="D538">
        <v>4500</v>
      </c>
    </row>
    <row r="539" spans="1:4" x14ac:dyDescent="0.25">
      <c r="A539" t="str">
        <f>T("   090420")</f>
        <v xml:space="preserve">   090420</v>
      </c>
      <c r="B539" t="str">
        <f>T("   Piments du genre 'Capsicum' ou du genre 'Pimenta', séchés ou broyés ou pulvérisés")</f>
        <v xml:space="preserve">   Piments du genre 'Capsicum' ou du genre 'Pimenta', séchés ou broyés ou pulvérisés</v>
      </c>
      <c r="C539">
        <v>2500000</v>
      </c>
      <c r="D539">
        <v>16048</v>
      </c>
    </row>
    <row r="540" spans="1:4" x14ac:dyDescent="0.25">
      <c r="A540" t="str">
        <f>T("   440729")</f>
        <v xml:space="preserve">   440729</v>
      </c>
      <c r="B540" t="s">
        <v>47</v>
      </c>
      <c r="C540">
        <v>105394506</v>
      </c>
      <c r="D540">
        <v>450000</v>
      </c>
    </row>
    <row r="541" spans="1:4" x14ac:dyDescent="0.25">
      <c r="A541" t="str">
        <f>T("   440920")</f>
        <v xml:space="preserve">   440920</v>
      </c>
      <c r="B541" t="s">
        <v>50</v>
      </c>
      <c r="C541">
        <v>12692974</v>
      </c>
      <c r="D541">
        <v>50000</v>
      </c>
    </row>
    <row r="542" spans="1:4" x14ac:dyDescent="0.25">
      <c r="A542" t="str">
        <f>T("   520100")</f>
        <v xml:space="preserve">   520100</v>
      </c>
      <c r="B542" t="str">
        <f>T("   COTON, NON-CARDÉ NI PEIGNÉ")</f>
        <v xml:space="preserve">   COTON, NON-CARDÉ NI PEIGNÉ</v>
      </c>
      <c r="C542">
        <v>10850972872</v>
      </c>
      <c r="D542">
        <v>14107236</v>
      </c>
    </row>
    <row r="543" spans="1:4" x14ac:dyDescent="0.25">
      <c r="A543" t="str">
        <f>T("   720430")</f>
        <v xml:space="preserve">   720430</v>
      </c>
      <c r="B54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43">
        <v>17500000</v>
      </c>
      <c r="D543">
        <v>350000</v>
      </c>
    </row>
    <row r="544" spans="1:4" x14ac:dyDescent="0.25">
      <c r="A544" t="str">
        <f>T("   720449")</f>
        <v xml:space="preserve">   720449</v>
      </c>
      <c r="B544" t="s">
        <v>64</v>
      </c>
      <c r="C544">
        <v>101250000</v>
      </c>
      <c r="D544">
        <v>2255000</v>
      </c>
    </row>
    <row r="545" spans="1:4" x14ac:dyDescent="0.25">
      <c r="A545" t="str">
        <f>T("   721790")</f>
        <v xml:space="preserve">   721790</v>
      </c>
      <c r="B545"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45">
        <v>21629723</v>
      </c>
      <c r="D545">
        <v>46843</v>
      </c>
    </row>
    <row r="546" spans="1:4" x14ac:dyDescent="0.25">
      <c r="A546" t="str">
        <f>T("   732620")</f>
        <v xml:space="preserve">   732620</v>
      </c>
      <c r="B546" t="str">
        <f>T("   Ouvrages en fil de fer ou d'acier, n.d.a.")</f>
        <v xml:space="preserve">   Ouvrages en fil de fer ou d'acier, n.d.a.</v>
      </c>
      <c r="C546">
        <v>28555080</v>
      </c>
      <c r="D546">
        <v>46717</v>
      </c>
    </row>
    <row r="547" spans="1:4" x14ac:dyDescent="0.25">
      <c r="A547" t="str">
        <f>T("   760200")</f>
        <v xml:space="preserve">   760200</v>
      </c>
      <c r="B547" t="s">
        <v>74</v>
      </c>
      <c r="C547">
        <v>1000000</v>
      </c>
      <c r="D547">
        <v>20000</v>
      </c>
    </row>
    <row r="548" spans="1:4" x14ac:dyDescent="0.25">
      <c r="A548" t="str">
        <f>T("   848390")</f>
        <v xml:space="preserve">   848390</v>
      </c>
      <c r="B548" t="str">
        <f>T("   Roues dentées et autres organes élémentaires de transmission présentés séparément; parties d'organes mécaniques, d'organes de transmission, d'engrenages, de variateurs de vitesses, d'organes d'accouplement et d'autres organes du n° 8483, n.d.a.")</f>
        <v xml:space="preserve">   Roues dentées et autres organes élémentaires de transmission présentés séparément; parties d'organes mécaniques, d'organes de transmission, d'engrenages, de variateurs de vitesses, d'organes d'accouplement et d'autres organes du n° 8483, n.d.a.</v>
      </c>
      <c r="C548">
        <v>13345500</v>
      </c>
      <c r="D548">
        <v>25921</v>
      </c>
    </row>
    <row r="549" spans="1:4" x14ac:dyDescent="0.25">
      <c r="A549" t="str">
        <f>T("IE")</f>
        <v>IE</v>
      </c>
      <c r="B549" t="str">
        <f>T("Irlande")</f>
        <v>Irlande</v>
      </c>
    </row>
    <row r="550" spans="1:4" x14ac:dyDescent="0.25">
      <c r="A550" t="str">
        <f>T("   ZZ_Total_Produit_SH6")</f>
        <v xml:space="preserve">   ZZ_Total_Produit_SH6</v>
      </c>
      <c r="B550" t="str">
        <f>T("   ZZ_Total_Produit_SH6")</f>
        <v xml:space="preserve">   ZZ_Total_Produit_SH6</v>
      </c>
      <c r="C550">
        <v>5865000</v>
      </c>
      <c r="D550">
        <v>7900</v>
      </c>
    </row>
    <row r="551" spans="1:4" x14ac:dyDescent="0.25">
      <c r="A551" t="str">
        <f>T("   847439")</f>
        <v xml:space="preserve">   847439</v>
      </c>
      <c r="B551"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551">
        <v>5865000</v>
      </c>
      <c r="D551">
        <v>7900</v>
      </c>
    </row>
    <row r="552" spans="1:4" x14ac:dyDescent="0.25">
      <c r="A552" t="str">
        <f>T("IL")</f>
        <v>IL</v>
      </c>
      <c r="B552" t="str">
        <f>T("Israël")</f>
        <v>Israël</v>
      </c>
    </row>
    <row r="553" spans="1:4" x14ac:dyDescent="0.25">
      <c r="A553" t="str">
        <f>T("   ZZ_Total_Produit_SH6")</f>
        <v xml:space="preserve">   ZZ_Total_Produit_SH6</v>
      </c>
      <c r="B553" t="str">
        <f>T("   ZZ_Total_Produit_SH6")</f>
        <v xml:space="preserve">   ZZ_Total_Produit_SH6</v>
      </c>
      <c r="C553">
        <v>1650000</v>
      </c>
      <c r="D553">
        <v>1600</v>
      </c>
    </row>
    <row r="554" spans="1:4" x14ac:dyDescent="0.25">
      <c r="A554" t="str">
        <f>T("   940360")</f>
        <v xml:space="preserve">   940360</v>
      </c>
      <c r="B554" t="str">
        <f>T("   Meubles en bois (autres que pour bureaux, cuisines ou chambres à coucher et autres que sièges)")</f>
        <v xml:space="preserve">   Meubles en bois (autres que pour bureaux, cuisines ou chambres à coucher et autres que sièges)</v>
      </c>
      <c r="C554">
        <v>1650000</v>
      </c>
      <c r="D554">
        <v>1600</v>
      </c>
    </row>
    <row r="555" spans="1:4" x14ac:dyDescent="0.25">
      <c r="A555" t="str">
        <f>T("IN")</f>
        <v>IN</v>
      </c>
      <c r="B555" t="str">
        <f>T("Inde")</f>
        <v>Inde</v>
      </c>
    </row>
    <row r="556" spans="1:4" x14ac:dyDescent="0.25">
      <c r="A556" t="str">
        <f>T("   ZZ_Total_Produit_SH6")</f>
        <v xml:space="preserve">   ZZ_Total_Produit_SH6</v>
      </c>
      <c r="B556" t="str">
        <f>T("   ZZ_Total_Produit_SH6")</f>
        <v xml:space="preserve">   ZZ_Total_Produit_SH6</v>
      </c>
      <c r="C556">
        <v>18037231971</v>
      </c>
      <c r="D556">
        <v>112071408.90000001</v>
      </c>
    </row>
    <row r="557" spans="1:4" x14ac:dyDescent="0.25">
      <c r="A557" t="str">
        <f>T("   080121")</f>
        <v xml:space="preserve">   080121</v>
      </c>
      <c r="B557" t="str">
        <f>T("   Noix du Brésil, fraîches ou sèches, en coques")</f>
        <v xml:space="preserve">   Noix du Brésil, fraîches ou sèches, en coques</v>
      </c>
      <c r="C557">
        <v>21666836</v>
      </c>
      <c r="D557">
        <v>102080</v>
      </c>
    </row>
    <row r="558" spans="1:4" x14ac:dyDescent="0.25">
      <c r="A558" t="str">
        <f>T("   080131")</f>
        <v xml:space="preserve">   080131</v>
      </c>
      <c r="B558" t="str">
        <f>T("   Noix de cajou, fraîches ou sèches, en coques")</f>
        <v xml:space="preserve">   Noix de cajou, fraîches ou sèches, en coques</v>
      </c>
      <c r="C558">
        <v>13631004284</v>
      </c>
      <c r="D558">
        <v>39986921</v>
      </c>
    </row>
    <row r="559" spans="1:4" x14ac:dyDescent="0.25">
      <c r="A559" t="str">
        <f>T("   080211")</f>
        <v xml:space="preserve">   080211</v>
      </c>
      <c r="B559" t="str">
        <f>T("   Amandes, fraîches ou sèches, en coques")</f>
        <v xml:space="preserve">   Amandes, fraîches ou sèches, en coques</v>
      </c>
      <c r="C559">
        <v>36626048</v>
      </c>
      <c r="D559">
        <v>620703</v>
      </c>
    </row>
    <row r="560" spans="1:4" x14ac:dyDescent="0.25">
      <c r="A560" t="str">
        <f>T("   080221")</f>
        <v xml:space="preserve">   080221</v>
      </c>
      <c r="B560" t="str">
        <f>T("   Noisettes 'Corylus spp.', fraîches ou sèches, en coques")</f>
        <v xml:space="preserve">   Noisettes 'Corylus spp.', fraîches ou sèches, en coques</v>
      </c>
      <c r="C560">
        <v>19600000</v>
      </c>
      <c r="D560">
        <v>97600</v>
      </c>
    </row>
    <row r="561" spans="1:4" x14ac:dyDescent="0.25">
      <c r="A561" t="str">
        <f>T("   080290")</f>
        <v xml:space="preserve">   080290</v>
      </c>
      <c r="B561"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561">
        <v>1108326920</v>
      </c>
      <c r="D561">
        <v>7812478</v>
      </c>
    </row>
    <row r="562" spans="1:4" x14ac:dyDescent="0.25">
      <c r="A562" t="str">
        <f>T("   081340")</f>
        <v xml:space="preserve">   081340</v>
      </c>
      <c r="B562" t="str">
        <f>T("   PÊCHES, POIRES, PAPAYES, TAMARINS ET AUTRES FRUITS COMESTIBLES, SÉCHÉS (SAUF FRUITS À COQUE, BANANES, DATTES, FIGUES, ANANAS, AVOCATS, GOYAVES, MANGUES, MAGOUSTANS, AGRUMES, RAISINS, ABRICOTS, PRUNES ET POMMES, NON-MÉLANGÉS)")</f>
        <v xml:space="preserve">   PÊCHES, POIRES, PAPAYES, TAMARINS ET AUTRES FRUITS COMESTIBLES, SÉCHÉS (SAUF FRUITS À COQUE, BANANES, DATTES, FIGUES, ANANAS, AVOCATS, GOYAVES, MANGUES, MAGOUSTANS, AGRUMES, RAISINS, ABRICOTS, PRUNES ET POMMES, NON-MÉLANGÉS)</v>
      </c>
      <c r="C562">
        <v>7867188</v>
      </c>
      <c r="D562">
        <v>56194</v>
      </c>
    </row>
    <row r="563" spans="1:4" x14ac:dyDescent="0.25">
      <c r="A563" t="str">
        <f>T("   120710")</f>
        <v xml:space="preserve">   120710</v>
      </c>
      <c r="B563" t="str">
        <f>T("   NOIX ET AMANDES DE PALMISTES")</f>
        <v xml:space="preserve">   NOIX ET AMANDES DE PALMISTES</v>
      </c>
      <c r="C563">
        <v>131531615</v>
      </c>
      <c r="D563">
        <v>22374</v>
      </c>
    </row>
    <row r="564" spans="1:4" x14ac:dyDescent="0.25">
      <c r="A564" t="str">
        <f>T("   120799")</f>
        <v xml:space="preserve">   120799</v>
      </c>
      <c r="B564" t="s">
        <v>16</v>
      </c>
      <c r="C564">
        <v>237463560</v>
      </c>
      <c r="D564">
        <v>1098042</v>
      </c>
    </row>
    <row r="565" spans="1:4" x14ac:dyDescent="0.25">
      <c r="A565" t="str">
        <f>T("   151590")</f>
        <v xml:space="preserve">   151590</v>
      </c>
      <c r="B565" t="s">
        <v>17</v>
      </c>
      <c r="C565">
        <v>1658072</v>
      </c>
      <c r="D565">
        <v>69194</v>
      </c>
    </row>
    <row r="566" spans="1:4" x14ac:dyDescent="0.25">
      <c r="A566" t="str">
        <f>T("   230690")</f>
        <v xml:space="preserve">   230690</v>
      </c>
      <c r="B566" t="s">
        <v>24</v>
      </c>
      <c r="C566">
        <v>414925</v>
      </c>
      <c r="D566">
        <v>17690</v>
      </c>
    </row>
    <row r="567" spans="1:4" x14ac:dyDescent="0.25">
      <c r="A567" t="str">
        <f>T("   380840")</f>
        <v xml:space="preserve">   380840</v>
      </c>
      <c r="B567"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67">
        <v>11348108</v>
      </c>
      <c r="D567">
        <v>20000</v>
      </c>
    </row>
    <row r="568" spans="1:4" x14ac:dyDescent="0.25">
      <c r="A568" t="str">
        <f>T("   440310")</f>
        <v xml:space="preserve">   440310</v>
      </c>
      <c r="B568" t="s">
        <v>41</v>
      </c>
      <c r="C568">
        <v>37192770</v>
      </c>
      <c r="D568">
        <v>300000</v>
      </c>
    </row>
    <row r="569" spans="1:4" x14ac:dyDescent="0.25">
      <c r="A569" t="str">
        <f>T("   440320")</f>
        <v xml:space="preserve">   440320</v>
      </c>
      <c r="B569" t="s">
        <v>42</v>
      </c>
      <c r="C569">
        <v>36309436</v>
      </c>
      <c r="D569">
        <v>518500</v>
      </c>
    </row>
    <row r="570" spans="1:4" x14ac:dyDescent="0.25">
      <c r="A570" t="str">
        <f>T("   440349")</f>
        <v xml:space="preserve">   440349</v>
      </c>
      <c r="B570" t="s">
        <v>43</v>
      </c>
      <c r="C570">
        <v>105313250</v>
      </c>
      <c r="D570">
        <v>782000</v>
      </c>
    </row>
    <row r="571" spans="1:4" x14ac:dyDescent="0.25">
      <c r="A571" t="str">
        <f>T("   440399")</f>
        <v xml:space="preserve">   440399</v>
      </c>
      <c r="B571" t="s">
        <v>44</v>
      </c>
      <c r="C571">
        <v>364774690</v>
      </c>
      <c r="D571">
        <v>6545000</v>
      </c>
    </row>
    <row r="572" spans="1:4" x14ac:dyDescent="0.25">
      <c r="A572" t="str">
        <f>T("   440410")</f>
        <v xml:space="preserve">   440410</v>
      </c>
      <c r="B572" t="s">
        <v>45</v>
      </c>
      <c r="C572">
        <v>8265060</v>
      </c>
      <c r="D572">
        <v>100000</v>
      </c>
    </row>
    <row r="573" spans="1:4" x14ac:dyDescent="0.25">
      <c r="A573" t="str">
        <f>T("   440500")</f>
        <v xml:space="preserve">   440500</v>
      </c>
      <c r="B573"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573">
        <v>322337340</v>
      </c>
      <c r="D573">
        <v>2440000</v>
      </c>
    </row>
    <row r="574" spans="1:4" x14ac:dyDescent="0.25">
      <c r="A574" t="str">
        <f>T("   440729")</f>
        <v xml:space="preserve">   440729</v>
      </c>
      <c r="B574" t="s">
        <v>47</v>
      </c>
      <c r="C574">
        <v>50238642</v>
      </c>
      <c r="D574">
        <v>386745</v>
      </c>
    </row>
    <row r="575" spans="1:4" x14ac:dyDescent="0.25">
      <c r="A575" t="str">
        <f>T("   440799")</f>
        <v xml:space="preserve">   440799</v>
      </c>
      <c r="B575" t="s">
        <v>48</v>
      </c>
      <c r="C575">
        <v>267734692</v>
      </c>
      <c r="D575">
        <v>8010500</v>
      </c>
    </row>
    <row r="576" spans="1:4" x14ac:dyDescent="0.25">
      <c r="A576" t="str">
        <f>T("   440839")</f>
        <v xml:space="preserve">   440839</v>
      </c>
      <c r="B576" t="s">
        <v>49</v>
      </c>
      <c r="C576">
        <v>254637289</v>
      </c>
      <c r="D576">
        <v>1008000</v>
      </c>
    </row>
    <row r="577" spans="1:4" x14ac:dyDescent="0.25">
      <c r="A577" t="str">
        <f>T("   441021")</f>
        <v xml:space="preserve">   441021</v>
      </c>
      <c r="B577" t="str">
        <f>T("   Panneaux dits 'oriented strand board' et panneaux dits 'waferboard', en bois, bruts ou simplement poncés")</f>
        <v xml:space="preserve">   Panneaux dits 'oriented strand board' et panneaux dits 'waferboard', en bois, bruts ou simplement poncés</v>
      </c>
      <c r="C577">
        <v>95048190</v>
      </c>
      <c r="D577">
        <v>700000</v>
      </c>
    </row>
    <row r="578" spans="1:4" x14ac:dyDescent="0.25">
      <c r="A578" t="str">
        <f>T("   520299")</f>
        <v xml:space="preserve">   520299</v>
      </c>
      <c r="B578" t="str">
        <f>T("   Déchets de coton (à l'excl. des déchets de fils et des effilochés)")</f>
        <v xml:space="preserve">   Déchets de coton (à l'excl. des déchets de fils et des effilochés)</v>
      </c>
      <c r="C578">
        <v>2500000</v>
      </c>
      <c r="D578">
        <v>20000</v>
      </c>
    </row>
    <row r="579" spans="1:4" x14ac:dyDescent="0.25">
      <c r="A579" t="str">
        <f>T("   630510")</f>
        <v xml:space="preserve">   630510</v>
      </c>
      <c r="B579" t="str">
        <f>T("   Sacs et sachets d'emballage de jute ou d'autres fibres textiles libériennes du n° 5303")</f>
        <v xml:space="preserve">   Sacs et sachets d'emballage de jute ou d'autres fibres textiles libériennes du n° 5303</v>
      </c>
      <c r="C579">
        <v>42053856</v>
      </c>
      <c r="D579">
        <v>73927.899999999994</v>
      </c>
    </row>
    <row r="580" spans="1:4" x14ac:dyDescent="0.25">
      <c r="A580" t="str">
        <f>T("   720429")</f>
        <v xml:space="preserve">   720429</v>
      </c>
      <c r="B58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80">
        <v>451066100</v>
      </c>
      <c r="D580">
        <v>18645592</v>
      </c>
    </row>
    <row r="581" spans="1:4" x14ac:dyDescent="0.25">
      <c r="A581" t="str">
        <f>T("   720430")</f>
        <v xml:space="preserve">   720430</v>
      </c>
      <c r="B58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81">
        <v>147600000</v>
      </c>
      <c r="D581">
        <v>6247332</v>
      </c>
    </row>
    <row r="582" spans="1:4" x14ac:dyDescent="0.25">
      <c r="A582" t="str">
        <f>T("   720449")</f>
        <v xml:space="preserve">   720449</v>
      </c>
      <c r="B582" t="s">
        <v>64</v>
      </c>
      <c r="C582">
        <v>611147000</v>
      </c>
      <c r="D582">
        <v>15762940</v>
      </c>
    </row>
    <row r="583" spans="1:4" x14ac:dyDescent="0.25">
      <c r="A583" t="str">
        <f>T("   721499")</f>
        <v xml:space="preserve">   721499</v>
      </c>
      <c r="B583" t="s">
        <v>66</v>
      </c>
      <c r="C583">
        <v>3450000</v>
      </c>
      <c r="D583">
        <v>23000</v>
      </c>
    </row>
    <row r="584" spans="1:4" x14ac:dyDescent="0.25">
      <c r="A584" t="str">
        <f>T("   760200")</f>
        <v xml:space="preserve">   760200</v>
      </c>
      <c r="B584" t="s">
        <v>74</v>
      </c>
      <c r="C584">
        <v>29000000</v>
      </c>
      <c r="D584">
        <v>580000</v>
      </c>
    </row>
    <row r="585" spans="1:4" x14ac:dyDescent="0.25">
      <c r="A585" t="str">
        <f>T("   854810")</f>
        <v xml:space="preserve">   854810</v>
      </c>
      <c r="B585" t="str">
        <f>T("   Déchets et débris de piles, de batteries de piles et d'accumulateurs électriques; piles et batteries de piles électriques hors d'usage et accumulateurs électriques hors d'usage")</f>
        <v xml:space="preserve">   Déchets et débris de piles, de batteries de piles et d'accumulateurs électriques; piles et batteries de piles électriques hors d'usage et accumulateurs électriques hors d'usage</v>
      </c>
      <c r="C585">
        <v>1056100</v>
      </c>
      <c r="D585">
        <v>24596</v>
      </c>
    </row>
    <row r="586" spans="1:4" x14ac:dyDescent="0.25">
      <c r="A586" t="str">
        <f>T("IT")</f>
        <v>IT</v>
      </c>
      <c r="B586" t="str">
        <f>T("Italie")</f>
        <v>Italie</v>
      </c>
    </row>
    <row r="587" spans="1:4" x14ac:dyDescent="0.25">
      <c r="A587" t="str">
        <f>T("   ZZ_Total_Produit_SH6")</f>
        <v xml:space="preserve">   ZZ_Total_Produit_SH6</v>
      </c>
      <c r="B587" t="str">
        <f>T("   ZZ_Total_Produit_SH6")</f>
        <v xml:space="preserve">   ZZ_Total_Produit_SH6</v>
      </c>
      <c r="C587">
        <v>1983790305</v>
      </c>
      <c r="D587">
        <v>4522524</v>
      </c>
    </row>
    <row r="588" spans="1:4" x14ac:dyDescent="0.25">
      <c r="A588" t="str">
        <f>T("   040510")</f>
        <v xml:space="preserve">   040510</v>
      </c>
      <c r="B588" t="str">
        <f>T("   Beurre (sauf beurre déshydraté et ghee)")</f>
        <v xml:space="preserve">   Beurre (sauf beurre déshydraté et ghee)</v>
      </c>
      <c r="C588">
        <v>1815480</v>
      </c>
      <c r="D588">
        <v>120</v>
      </c>
    </row>
    <row r="589" spans="1:4" x14ac:dyDescent="0.25">
      <c r="A589" t="str">
        <f>T("   151110")</f>
        <v xml:space="preserve">   151110</v>
      </c>
      <c r="B589" t="str">
        <f>T("   Huile de palme, brute")</f>
        <v xml:space="preserve">   Huile de palme, brute</v>
      </c>
      <c r="C589">
        <v>257710309</v>
      </c>
      <c r="D589">
        <v>394380</v>
      </c>
    </row>
    <row r="590" spans="1:4" x14ac:dyDescent="0.25">
      <c r="A590" t="str">
        <f>T("   170191")</f>
        <v xml:space="preserve">   170191</v>
      </c>
      <c r="B590" t="str">
        <f>T("   Sucres de canne ou de betterave, à l'état solide, additionnés d'aromatisants ou de colorants")</f>
        <v xml:space="preserve">   Sucres de canne ou de betterave, à l'état solide, additionnés d'aromatisants ou de colorants</v>
      </c>
      <c r="C590">
        <v>372827052</v>
      </c>
      <c r="D590">
        <v>1005000</v>
      </c>
    </row>
    <row r="591" spans="1:4" x14ac:dyDescent="0.25">
      <c r="A591" t="str">
        <f>T("   170199")</f>
        <v xml:space="preserve">   170199</v>
      </c>
      <c r="B591"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591">
        <v>719025250</v>
      </c>
      <c r="D591">
        <v>2000000</v>
      </c>
    </row>
    <row r="592" spans="1:4" x14ac:dyDescent="0.25">
      <c r="A592" t="str">
        <f>T("   440920")</f>
        <v xml:space="preserve">   440920</v>
      </c>
      <c r="B592" t="s">
        <v>50</v>
      </c>
      <c r="C592">
        <v>9183440</v>
      </c>
      <c r="D592">
        <v>20000</v>
      </c>
    </row>
    <row r="593" spans="1:4" x14ac:dyDescent="0.25">
      <c r="A593" t="str">
        <f>T("   520100")</f>
        <v xml:space="preserve">   520100</v>
      </c>
      <c r="B593" t="str">
        <f>T("   COTON, NON-CARDÉ NI PEIGNÉ")</f>
        <v xml:space="preserve">   COTON, NON-CARDÉ NI PEIGNÉ</v>
      </c>
      <c r="C593">
        <v>373824709</v>
      </c>
      <c r="D593">
        <v>511254</v>
      </c>
    </row>
    <row r="594" spans="1:4" x14ac:dyDescent="0.25">
      <c r="A594" t="str">
        <f>T("   720449")</f>
        <v xml:space="preserve">   720449</v>
      </c>
      <c r="B594" t="s">
        <v>64</v>
      </c>
      <c r="C594">
        <v>25500000</v>
      </c>
      <c r="D594">
        <v>510000</v>
      </c>
    </row>
    <row r="595" spans="1:4" x14ac:dyDescent="0.25">
      <c r="A595" t="str">
        <f>T("   732620")</f>
        <v xml:space="preserve">   732620</v>
      </c>
      <c r="B595" t="str">
        <f>T("   Ouvrages en fil de fer ou d'acier, n.d.a.")</f>
        <v xml:space="preserve">   Ouvrages en fil de fer ou d'acier, n.d.a.</v>
      </c>
      <c r="C595">
        <v>808791</v>
      </c>
      <c r="D595">
        <v>948</v>
      </c>
    </row>
    <row r="596" spans="1:4" x14ac:dyDescent="0.25">
      <c r="A596" t="str">
        <f>T("   842630")</f>
        <v xml:space="preserve">   842630</v>
      </c>
      <c r="B596" t="str">
        <f>T("   Grues sur portiques")</f>
        <v xml:space="preserve">   Grues sur portiques</v>
      </c>
      <c r="C596">
        <v>129449114</v>
      </c>
      <c r="D596">
        <v>41222</v>
      </c>
    </row>
    <row r="597" spans="1:4" x14ac:dyDescent="0.25">
      <c r="A597" t="str">
        <f>T("   870422")</f>
        <v xml:space="preserve">   870422</v>
      </c>
      <c r="B597" t="s">
        <v>103</v>
      </c>
      <c r="C597">
        <v>93646160</v>
      </c>
      <c r="D597">
        <v>39600</v>
      </c>
    </row>
    <row r="598" spans="1:4" x14ac:dyDescent="0.25">
      <c r="A598" t="str">
        <f>T("JP")</f>
        <v>JP</v>
      </c>
      <c r="B598" t="str">
        <f>T("Japon")</f>
        <v>Japon</v>
      </c>
    </row>
    <row r="599" spans="1:4" x14ac:dyDescent="0.25">
      <c r="A599" t="str">
        <f>T("   ZZ_Total_Produit_SH6")</f>
        <v xml:space="preserve">   ZZ_Total_Produit_SH6</v>
      </c>
      <c r="B599" t="str">
        <f>T("   ZZ_Total_Produit_SH6")</f>
        <v xml:space="preserve">   ZZ_Total_Produit_SH6</v>
      </c>
      <c r="C599">
        <v>14917868</v>
      </c>
      <c r="D599">
        <v>5100</v>
      </c>
    </row>
    <row r="600" spans="1:4" x14ac:dyDescent="0.25">
      <c r="A600" t="str">
        <f>T("   151790")</f>
        <v xml:space="preserve">   151790</v>
      </c>
      <c r="B600" t="s">
        <v>18</v>
      </c>
      <c r="C600">
        <v>480000</v>
      </c>
      <c r="D600">
        <v>400</v>
      </c>
    </row>
    <row r="601" spans="1:4" x14ac:dyDescent="0.25">
      <c r="A601" t="str">
        <f>T("   870323")</f>
        <v xml:space="preserve">   870323</v>
      </c>
      <c r="B601" t="s">
        <v>98</v>
      </c>
      <c r="C601">
        <v>5306006</v>
      </c>
      <c r="D601">
        <v>1400</v>
      </c>
    </row>
    <row r="602" spans="1:4" x14ac:dyDescent="0.25">
      <c r="A602" t="str">
        <f>T("   870333")</f>
        <v xml:space="preserve">   870333</v>
      </c>
      <c r="B602" t="s">
        <v>101</v>
      </c>
      <c r="C602">
        <v>9131862</v>
      </c>
      <c r="D602">
        <v>3300</v>
      </c>
    </row>
    <row r="603" spans="1:4" x14ac:dyDescent="0.25">
      <c r="A603" t="str">
        <f>T("KR")</f>
        <v>KR</v>
      </c>
      <c r="B603" t="str">
        <f>T("Corée, République de")</f>
        <v>Corée, République de</v>
      </c>
    </row>
    <row r="604" spans="1:4" x14ac:dyDescent="0.25">
      <c r="A604" t="str">
        <f>T("   ZZ_Total_Produit_SH6")</f>
        <v xml:space="preserve">   ZZ_Total_Produit_SH6</v>
      </c>
      <c r="B604" t="str">
        <f>T("   ZZ_Total_Produit_SH6")</f>
        <v xml:space="preserve">   ZZ_Total_Produit_SH6</v>
      </c>
      <c r="C604">
        <v>25250000</v>
      </c>
      <c r="D604">
        <v>535000</v>
      </c>
    </row>
    <row r="605" spans="1:4" x14ac:dyDescent="0.25">
      <c r="A605" t="str">
        <f>T("   720449")</f>
        <v xml:space="preserve">   720449</v>
      </c>
      <c r="B605" t="s">
        <v>64</v>
      </c>
      <c r="C605">
        <v>25250000</v>
      </c>
      <c r="D605">
        <v>535000</v>
      </c>
    </row>
    <row r="606" spans="1:4" x14ac:dyDescent="0.25">
      <c r="A606" t="str">
        <f>T("LB")</f>
        <v>LB</v>
      </c>
      <c r="B606" t="str">
        <f>T("Liban")</f>
        <v>Liban</v>
      </c>
    </row>
    <row r="607" spans="1:4" x14ac:dyDescent="0.25">
      <c r="A607" t="str">
        <f>T("   ZZ_Total_Produit_SH6")</f>
        <v xml:space="preserve">   ZZ_Total_Produit_SH6</v>
      </c>
      <c r="B607" t="str">
        <f>T("   ZZ_Total_Produit_SH6")</f>
        <v xml:space="preserve">   ZZ_Total_Produit_SH6</v>
      </c>
      <c r="C607">
        <v>18677770</v>
      </c>
      <c r="D607">
        <v>48817</v>
      </c>
    </row>
    <row r="608" spans="1:4" x14ac:dyDescent="0.25">
      <c r="A608" t="str">
        <f>T("   420219")</f>
        <v xml:space="preserve">   420219</v>
      </c>
      <c r="B608" t="s">
        <v>38</v>
      </c>
      <c r="C608">
        <v>1567475</v>
      </c>
      <c r="D608">
        <v>500</v>
      </c>
    </row>
    <row r="609" spans="1:4" x14ac:dyDescent="0.25">
      <c r="A609" t="str">
        <f>T("   670290")</f>
        <v xml:space="preserve">   670290</v>
      </c>
      <c r="B609" t="str">
        <f>T("   Fleurs, feuillages et fruits artificiels, y.c. leurs parties; articles confectionnés en fleurs, feuillages ou fruits artificiels fabriqués par ligature, collage, emboîtage ou procédés simil. (autres qu'en matière plastique)")</f>
        <v xml:space="preserve">   Fleurs, feuillages et fruits artificiels, y.c. leurs parties; articles confectionnés en fleurs, feuillages ou fruits artificiels fabriqués par ligature, collage, emboîtage ou procédés simil. (autres qu'en matière plastique)</v>
      </c>
      <c r="C609">
        <v>266039</v>
      </c>
      <c r="D609">
        <v>1000</v>
      </c>
    </row>
    <row r="610" spans="1:4" x14ac:dyDescent="0.25">
      <c r="A610" t="str">
        <f>T("   732690")</f>
        <v xml:space="preserve">   732690</v>
      </c>
      <c r="B610"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10">
        <v>2937457</v>
      </c>
      <c r="D610">
        <v>5000</v>
      </c>
    </row>
    <row r="611" spans="1:4" x14ac:dyDescent="0.25">
      <c r="A611" t="str">
        <f>T("   841829")</f>
        <v xml:space="preserve">   841829</v>
      </c>
      <c r="B611" t="str">
        <f>T("   Réfrigérateurs ménagers à absorption, non-électriques")</f>
        <v xml:space="preserve">   Réfrigérateurs ménagers à absorption, non-électriques</v>
      </c>
      <c r="C611">
        <v>1500366</v>
      </c>
      <c r="D611">
        <v>1000</v>
      </c>
    </row>
    <row r="612" spans="1:4" x14ac:dyDescent="0.25">
      <c r="A612" t="str">
        <f>T("   843069")</f>
        <v xml:space="preserve">   843069</v>
      </c>
      <c r="B612"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612">
        <v>6354743</v>
      </c>
      <c r="D612">
        <v>10000</v>
      </c>
    </row>
    <row r="613" spans="1:4" x14ac:dyDescent="0.25">
      <c r="A613" t="str">
        <f>T("   854590")</f>
        <v xml:space="preserve">   854590</v>
      </c>
      <c r="B613" t="str">
        <f>T("   Articles en graphite ou en autre carbone, pour usages électriques (autres qu'électrodes et balais)")</f>
        <v xml:space="preserve">   Articles en graphite ou en autre carbone, pour usages électriques (autres qu'électrodes et balais)</v>
      </c>
      <c r="C613">
        <v>550000</v>
      </c>
      <c r="D613">
        <v>22000</v>
      </c>
    </row>
    <row r="614" spans="1:4" x14ac:dyDescent="0.25">
      <c r="A614" t="str">
        <f>T("   871190")</f>
        <v xml:space="preserve">   871190</v>
      </c>
      <c r="B614" t="str">
        <f>T("   Side-cars")</f>
        <v xml:space="preserve">   Side-cars</v>
      </c>
      <c r="C614">
        <v>500000</v>
      </c>
      <c r="D614">
        <v>1</v>
      </c>
    </row>
    <row r="615" spans="1:4" x14ac:dyDescent="0.25">
      <c r="A615" t="str">
        <f>T("   871690")</f>
        <v xml:space="preserve">   871690</v>
      </c>
      <c r="B615" t="str">
        <f>T("   PARTIES DE REMORQUES, SEMI-REMORQUES ET AUTRES VÉHICULES NON-AUTOMOBILES, N.D.A.")</f>
        <v xml:space="preserve">   PARTIES DE REMORQUES, SEMI-REMORQUES ET AUTRES VÉHICULES NON-AUTOMOBILES, N.D.A.</v>
      </c>
      <c r="C615">
        <v>2000000</v>
      </c>
      <c r="D615">
        <v>8000</v>
      </c>
    </row>
    <row r="616" spans="1:4" x14ac:dyDescent="0.25">
      <c r="A616" t="str">
        <f>T("   901590")</f>
        <v xml:space="preserve">   901590</v>
      </c>
      <c r="B616" t="str">
        <f>T("   Parties et accessoires des instruments et appareils de géodésie, de topographie, d'arpentage, de nivellement, de photogrammétrie, d'hydrographie, d'océanographie, d'hydrologie, de météorologie ou de géophysique ainsi que des télémètres, n.d.a.")</f>
        <v xml:space="preserve">   Parties et accessoires des instruments et appareils de géodésie, de topographie, d'arpentage, de nivellement, de photogrammétrie, d'hydrographie, d'océanographie, d'hydrologie, de météorologie ou de géophysique ainsi que des télémètres, n.d.a.</v>
      </c>
      <c r="C616">
        <v>3001690</v>
      </c>
      <c r="D616">
        <v>1316</v>
      </c>
    </row>
    <row r="617" spans="1:4" x14ac:dyDescent="0.25">
      <c r="A617" t="str">
        <f>T("LR")</f>
        <v>LR</v>
      </c>
      <c r="B617" t="str">
        <f>T("Libéria")</f>
        <v>Libéria</v>
      </c>
    </row>
    <row r="618" spans="1:4" x14ac:dyDescent="0.25">
      <c r="A618" t="str">
        <f>T("   ZZ_Total_Produit_SH6")</f>
        <v xml:space="preserve">   ZZ_Total_Produit_SH6</v>
      </c>
      <c r="B618" t="str">
        <f>T("   ZZ_Total_Produit_SH6")</f>
        <v xml:space="preserve">   ZZ_Total_Produit_SH6</v>
      </c>
      <c r="C618">
        <v>493477479</v>
      </c>
      <c r="D618">
        <v>8947</v>
      </c>
    </row>
    <row r="619" spans="1:4" x14ac:dyDescent="0.25">
      <c r="A619" t="str">
        <f>T("   120710")</f>
        <v xml:space="preserve">   120710</v>
      </c>
      <c r="B619" t="str">
        <f>T("   NOIX ET AMANDES DE PALMISTES")</f>
        <v xml:space="preserve">   NOIX ET AMANDES DE PALMISTES</v>
      </c>
      <c r="C619">
        <v>486982479</v>
      </c>
      <c r="D619">
        <v>4165</v>
      </c>
    </row>
    <row r="620" spans="1:4" x14ac:dyDescent="0.25">
      <c r="A620" t="str">
        <f>T("   620590")</f>
        <v xml:space="preserve">   620590</v>
      </c>
      <c r="B62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20">
        <v>600000</v>
      </c>
      <c r="D620">
        <v>800</v>
      </c>
    </row>
    <row r="621" spans="1:4" x14ac:dyDescent="0.25">
      <c r="A621" t="str">
        <f>T("   732394")</f>
        <v xml:space="preserve">   732394</v>
      </c>
      <c r="B621" t="s">
        <v>72</v>
      </c>
      <c r="C621">
        <v>400000</v>
      </c>
      <c r="D621">
        <v>700</v>
      </c>
    </row>
    <row r="622" spans="1:4" x14ac:dyDescent="0.25">
      <c r="A622" t="str">
        <f>T("   843629")</f>
        <v xml:space="preserve">   843629</v>
      </c>
      <c r="B622" t="str">
        <f>T("   Machines et appareils pour l'aviculture (sauf machines à trier les oeufs, machines à plumer du n° 8438 et sauf couveuses et éleveuses)")</f>
        <v xml:space="preserve">   Machines et appareils pour l'aviculture (sauf machines à trier les oeufs, machines à plumer du n° 8438 et sauf couveuses et éleveuses)</v>
      </c>
      <c r="C622">
        <v>4495000</v>
      </c>
      <c r="D622">
        <v>1782</v>
      </c>
    </row>
    <row r="623" spans="1:4" x14ac:dyDescent="0.25">
      <c r="A623" t="str">
        <f>T("   940350")</f>
        <v xml:space="preserve">   940350</v>
      </c>
      <c r="B623" t="str">
        <f>T("   Meubles pour chambres à coucher, en bois (sauf sièges)")</f>
        <v xml:space="preserve">   Meubles pour chambres à coucher, en bois (sauf sièges)</v>
      </c>
      <c r="C623">
        <v>1000000</v>
      </c>
      <c r="D623">
        <v>1500</v>
      </c>
    </row>
    <row r="624" spans="1:4" x14ac:dyDescent="0.25">
      <c r="A624" t="str">
        <f>T("LY")</f>
        <v>LY</v>
      </c>
      <c r="B624" t="str">
        <f>T("Libyenne, Jamahiriya Arabe")</f>
        <v>Libyenne, Jamahiriya Arabe</v>
      </c>
    </row>
    <row r="625" spans="1:4" x14ac:dyDescent="0.25">
      <c r="A625" t="str">
        <f>T("   ZZ_Total_Produit_SH6")</f>
        <v xml:space="preserve">   ZZ_Total_Produit_SH6</v>
      </c>
      <c r="B625" t="str">
        <f>T("   ZZ_Total_Produit_SH6")</f>
        <v xml:space="preserve">   ZZ_Total_Produit_SH6</v>
      </c>
      <c r="C625">
        <v>298432020</v>
      </c>
      <c r="D625">
        <v>274216</v>
      </c>
    </row>
    <row r="626" spans="1:4" x14ac:dyDescent="0.25">
      <c r="A626" t="str">
        <f>T("   200980")</f>
        <v xml:space="preserve">   200980</v>
      </c>
      <c r="B626"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626">
        <v>2126013</v>
      </c>
      <c r="D626">
        <v>10752</v>
      </c>
    </row>
    <row r="627" spans="1:4" x14ac:dyDescent="0.25">
      <c r="A627" t="str">
        <f>T("   240220")</f>
        <v xml:space="preserve">   240220</v>
      </c>
      <c r="B627" t="str">
        <f>T("   Cigarettes contenant du tabac")</f>
        <v xml:space="preserve">   Cigarettes contenant du tabac</v>
      </c>
      <c r="C627">
        <v>293006007</v>
      </c>
      <c r="D627">
        <v>262134</v>
      </c>
    </row>
    <row r="628" spans="1:4" x14ac:dyDescent="0.25">
      <c r="A628" t="str">
        <f>T("   870323")</f>
        <v xml:space="preserve">   870323</v>
      </c>
      <c r="B628" t="s">
        <v>98</v>
      </c>
      <c r="C628">
        <v>3300000</v>
      </c>
      <c r="D628">
        <v>1330</v>
      </c>
    </row>
    <row r="629" spans="1:4" x14ac:dyDescent="0.25">
      <c r="A629" t="str">
        <f>T("MA")</f>
        <v>MA</v>
      </c>
      <c r="B629" t="str">
        <f>T("Maroc")</f>
        <v>Maroc</v>
      </c>
    </row>
    <row r="630" spans="1:4" x14ac:dyDescent="0.25">
      <c r="A630" t="str">
        <f>T("   ZZ_Total_Produit_SH6")</f>
        <v xml:space="preserve">   ZZ_Total_Produit_SH6</v>
      </c>
      <c r="B630" t="str">
        <f>T("   ZZ_Total_Produit_SH6")</f>
        <v xml:space="preserve">   ZZ_Total_Produit_SH6</v>
      </c>
      <c r="C630">
        <v>659197400</v>
      </c>
      <c r="D630">
        <v>406702</v>
      </c>
    </row>
    <row r="631" spans="1:4" x14ac:dyDescent="0.25">
      <c r="A631" t="str">
        <f>T("   080131")</f>
        <v xml:space="preserve">   080131</v>
      </c>
      <c r="B631" t="str">
        <f>T("   Noix de cajou, fraîches ou sèches, en coques")</f>
        <v xml:space="preserve">   Noix de cajou, fraîches ou sèches, en coques</v>
      </c>
      <c r="C631">
        <v>14625927</v>
      </c>
      <c r="D631">
        <v>51086</v>
      </c>
    </row>
    <row r="632" spans="1:4" x14ac:dyDescent="0.25">
      <c r="A632" t="str">
        <f>T("   080430")</f>
        <v xml:space="preserve">   080430</v>
      </c>
      <c r="B632" t="str">
        <f>T("   Ananas, frais ou secs")</f>
        <v xml:space="preserve">   Ananas, frais ou secs</v>
      </c>
      <c r="C632">
        <v>655960</v>
      </c>
      <c r="D632">
        <v>2450</v>
      </c>
    </row>
    <row r="633" spans="1:4" x14ac:dyDescent="0.25">
      <c r="A633" t="str">
        <f>T("   091010")</f>
        <v xml:space="preserve">   091010</v>
      </c>
      <c r="B633" t="str">
        <f>T("   Gingembre")</f>
        <v xml:space="preserve">   Gingembre</v>
      </c>
      <c r="C633">
        <v>16582300</v>
      </c>
      <c r="D633">
        <v>66000</v>
      </c>
    </row>
    <row r="634" spans="1:4" x14ac:dyDescent="0.25">
      <c r="A634" t="str">
        <f>T("   401120")</f>
        <v xml:space="preserve">   401120</v>
      </c>
      <c r="B634"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634">
        <v>22000000</v>
      </c>
      <c r="D634">
        <v>4950</v>
      </c>
    </row>
    <row r="635" spans="1:4" x14ac:dyDescent="0.25">
      <c r="A635" t="str">
        <f>T("   620520")</f>
        <v xml:space="preserve">   620520</v>
      </c>
      <c r="B635" t="str">
        <f>T("   Chemises et chemisettes, de coton, pour hommes ou garçonnets (autres qu'en bonneterie et sauf chemises de nuit et gilets de corps)")</f>
        <v xml:space="preserve">   Chemises et chemisettes, de coton, pour hommes ou garçonnets (autres qu'en bonneterie et sauf chemises de nuit et gilets de corps)</v>
      </c>
      <c r="C635">
        <v>600000</v>
      </c>
      <c r="D635">
        <v>7000</v>
      </c>
    </row>
    <row r="636" spans="1:4" x14ac:dyDescent="0.25">
      <c r="A636" t="str">
        <f>T("   620590")</f>
        <v xml:space="preserve">   620590</v>
      </c>
      <c r="B63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36">
        <v>1100000</v>
      </c>
      <c r="D636">
        <v>1350</v>
      </c>
    </row>
    <row r="637" spans="1:4" x14ac:dyDescent="0.25">
      <c r="A637" t="str">
        <f>T("   732394")</f>
        <v xml:space="preserve">   732394</v>
      </c>
      <c r="B637" t="s">
        <v>72</v>
      </c>
      <c r="C637">
        <v>1350000</v>
      </c>
      <c r="D637">
        <v>6500</v>
      </c>
    </row>
    <row r="638" spans="1:4" x14ac:dyDescent="0.25">
      <c r="A638" t="str">
        <f>T("   842911")</f>
        <v xml:space="preserve">   842911</v>
      </c>
      <c r="B638" t="str">
        <f>T("   Bouteurs 'bulldozers' et bouteurs biais 'angledozers', à chenilles")</f>
        <v xml:space="preserve">   Bouteurs 'bulldozers' et bouteurs biais 'angledozers', à chenilles</v>
      </c>
      <c r="C638">
        <v>150000000</v>
      </c>
      <c r="D638">
        <v>38126</v>
      </c>
    </row>
    <row r="639" spans="1:4" x14ac:dyDescent="0.25">
      <c r="A639" t="str">
        <f>T("   842940")</f>
        <v xml:space="preserve">   842940</v>
      </c>
      <c r="B639" t="str">
        <f>T("   Rouleaux compresseurs et autres compacteuses, autopropulsés")</f>
        <v xml:space="preserve">   Rouleaux compresseurs et autres compacteuses, autopropulsés</v>
      </c>
      <c r="C639">
        <v>105000000</v>
      </c>
      <c r="D639">
        <v>44831</v>
      </c>
    </row>
    <row r="640" spans="1:4" x14ac:dyDescent="0.25">
      <c r="A640" t="str">
        <f>T("   842959")</f>
        <v xml:space="preserve">   842959</v>
      </c>
      <c r="B640"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40">
        <v>100000000</v>
      </c>
      <c r="D640">
        <v>70000</v>
      </c>
    </row>
    <row r="641" spans="1:4" x14ac:dyDescent="0.25">
      <c r="A641" t="str">
        <f>T("   843141")</f>
        <v xml:space="preserve">   843141</v>
      </c>
      <c r="B641" t="str">
        <f>T("   Godets, bennes, bennes-preneuses, pelles, grappins et pinces pour machines et appareils du n° 8426, 8429 ou 8430")</f>
        <v xml:space="preserve">   Godets, bennes, bennes-preneuses, pelles, grappins et pinces pour machines et appareils du n° 8426, 8429 ou 8430</v>
      </c>
      <c r="C641">
        <v>22000000</v>
      </c>
      <c r="D641">
        <v>3259</v>
      </c>
    </row>
    <row r="642" spans="1:4" x14ac:dyDescent="0.25">
      <c r="A642" t="str">
        <f>T("   870322")</f>
        <v xml:space="preserve">   870322</v>
      </c>
      <c r="B642" t="s">
        <v>97</v>
      </c>
      <c r="C642">
        <v>14000000</v>
      </c>
      <c r="D642">
        <v>1065</v>
      </c>
    </row>
    <row r="643" spans="1:4" x14ac:dyDescent="0.25">
      <c r="A643" t="str">
        <f>T("   870410")</f>
        <v xml:space="preserve">   870410</v>
      </c>
      <c r="B643" t="str">
        <f>T("   Tombereaux automoteurs utilisés en dehors du réseau routier")</f>
        <v xml:space="preserve">   Tombereaux automoteurs utilisés en dehors du réseau routier</v>
      </c>
      <c r="C643">
        <v>207333213</v>
      </c>
      <c r="D643">
        <v>97500</v>
      </c>
    </row>
    <row r="644" spans="1:4" x14ac:dyDescent="0.25">
      <c r="A644" t="str">
        <f>T("   940350")</f>
        <v xml:space="preserve">   940350</v>
      </c>
      <c r="B644" t="str">
        <f>T("   Meubles pour chambres à coucher, en bois (sauf sièges)")</f>
        <v xml:space="preserve">   Meubles pour chambres à coucher, en bois (sauf sièges)</v>
      </c>
      <c r="C644">
        <v>2100000</v>
      </c>
      <c r="D644">
        <v>2700</v>
      </c>
    </row>
    <row r="645" spans="1:4" x14ac:dyDescent="0.25">
      <c r="A645" t="str">
        <f>T("   940360")</f>
        <v xml:space="preserve">   940360</v>
      </c>
      <c r="B645" t="str">
        <f>T("   Meubles en bois (autres que pour bureaux, cuisines ou chambres à coucher et autres que sièges)")</f>
        <v xml:space="preserve">   Meubles en bois (autres que pour bureaux, cuisines ou chambres à coucher et autres que sièges)</v>
      </c>
      <c r="C645">
        <v>1600000</v>
      </c>
      <c r="D645">
        <v>9435</v>
      </c>
    </row>
    <row r="646" spans="1:4" x14ac:dyDescent="0.25">
      <c r="A646" t="str">
        <f>T("   950299")</f>
        <v xml:space="preserve">   950299</v>
      </c>
      <c r="B646" t="str">
        <f>T("   Parties et accessoires pour poupées représentant uniquement l'être humain, n.d.a.")</f>
        <v xml:space="preserve">   Parties et accessoires pour poupées représentant uniquement l'être humain, n.d.a.</v>
      </c>
      <c r="C646">
        <v>250000</v>
      </c>
      <c r="D646">
        <v>450</v>
      </c>
    </row>
    <row r="647" spans="1:4" x14ac:dyDescent="0.25">
      <c r="A647" t="str">
        <f>T("MG")</f>
        <v>MG</v>
      </c>
      <c r="B647" t="str">
        <f>T("Madagascar")</f>
        <v>Madagascar</v>
      </c>
    </row>
    <row r="648" spans="1:4" x14ac:dyDescent="0.25">
      <c r="A648" t="str">
        <f>T("   ZZ_Total_Produit_SH6")</f>
        <v xml:space="preserve">   ZZ_Total_Produit_SH6</v>
      </c>
      <c r="B648" t="str">
        <f>T("   ZZ_Total_Produit_SH6")</f>
        <v xml:space="preserve">   ZZ_Total_Produit_SH6</v>
      </c>
      <c r="C648">
        <v>108439173</v>
      </c>
      <c r="D648">
        <v>33025</v>
      </c>
    </row>
    <row r="649" spans="1:4" x14ac:dyDescent="0.25">
      <c r="A649" t="str">
        <f>T("   120710")</f>
        <v xml:space="preserve">   120710</v>
      </c>
      <c r="B649" t="str">
        <f>T("   NOIX ET AMANDES DE PALMISTES")</f>
        <v xml:space="preserve">   NOIX ET AMANDES DE PALMISTES</v>
      </c>
      <c r="C649">
        <v>43293162</v>
      </c>
      <c r="D649">
        <v>525</v>
      </c>
    </row>
    <row r="650" spans="1:4" x14ac:dyDescent="0.25">
      <c r="A650" t="str">
        <f>T("   870410")</f>
        <v xml:space="preserve">   870410</v>
      </c>
      <c r="B650" t="str">
        <f>T("   Tombereaux automoteurs utilisés en dehors du réseau routier")</f>
        <v xml:space="preserve">   Tombereaux automoteurs utilisés en dehors du réseau routier</v>
      </c>
      <c r="C650">
        <v>65146011</v>
      </c>
      <c r="D650">
        <v>32500</v>
      </c>
    </row>
    <row r="651" spans="1:4" x14ac:dyDescent="0.25">
      <c r="A651" t="str">
        <f>T("ML")</f>
        <v>ML</v>
      </c>
      <c r="B651" t="str">
        <f>T("Mali")</f>
        <v>Mali</v>
      </c>
    </row>
    <row r="652" spans="1:4" x14ac:dyDescent="0.25">
      <c r="A652" t="str">
        <f>T("   ZZ_Total_Produit_SH6")</f>
        <v xml:space="preserve">   ZZ_Total_Produit_SH6</v>
      </c>
      <c r="B652" t="str">
        <f>T("   ZZ_Total_Produit_SH6")</f>
        <v xml:space="preserve">   ZZ_Total_Produit_SH6</v>
      </c>
      <c r="C652">
        <v>711462681</v>
      </c>
      <c r="D652">
        <v>480997.25</v>
      </c>
    </row>
    <row r="653" spans="1:4" x14ac:dyDescent="0.25">
      <c r="A653" t="str">
        <f>T("   200949")</f>
        <v xml:space="preserve">   200949</v>
      </c>
      <c r="B653"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653">
        <v>19400000</v>
      </c>
      <c r="D653">
        <v>59500</v>
      </c>
    </row>
    <row r="654" spans="1:4" x14ac:dyDescent="0.25">
      <c r="A654" t="str">
        <f>T("   360500")</f>
        <v xml:space="preserve">   360500</v>
      </c>
      <c r="B654" t="str">
        <f>T("   Allumettes (autres que les articles de pyrotechnie du n° 3604)")</f>
        <v xml:space="preserve">   Allumettes (autres que les articles de pyrotechnie du n° 3604)</v>
      </c>
      <c r="C654">
        <v>3000000</v>
      </c>
      <c r="D654">
        <v>13376</v>
      </c>
    </row>
    <row r="655" spans="1:4" x14ac:dyDescent="0.25">
      <c r="A655" t="str">
        <f>T("   481910")</f>
        <v xml:space="preserve">   481910</v>
      </c>
      <c r="B655" t="str">
        <f>T("   Boîtes et caisses en papier ou en carton ondulé")</f>
        <v xml:space="preserve">   Boîtes et caisses en papier ou en carton ondulé</v>
      </c>
      <c r="C655">
        <v>1361313</v>
      </c>
      <c r="D655">
        <v>800</v>
      </c>
    </row>
    <row r="656" spans="1:4" x14ac:dyDescent="0.25">
      <c r="A656" t="str">
        <f>T("   490700")</f>
        <v xml:space="preserve">   490700</v>
      </c>
      <c r="B656" t="s">
        <v>52</v>
      </c>
      <c r="C656">
        <v>7400000</v>
      </c>
      <c r="D656">
        <v>3406</v>
      </c>
    </row>
    <row r="657" spans="1:4" x14ac:dyDescent="0.25">
      <c r="A657" t="str">
        <f>T("   520812")</f>
        <v xml:space="preserve">   520812</v>
      </c>
      <c r="B657" t="str">
        <f>T("   Tissus de coton, écrus, à armure toile, contenant &gt;= 85% en poids de coton, d'un poids &gt; 100 g/m² mais &lt;= 200 g/m²")</f>
        <v xml:space="preserve">   Tissus de coton, écrus, à armure toile, contenant &gt;= 85% en poids de coton, d'un poids &gt; 100 g/m² mais &lt;= 200 g/m²</v>
      </c>
      <c r="C657">
        <v>166336800</v>
      </c>
      <c r="D657">
        <v>61640.25</v>
      </c>
    </row>
    <row r="658" spans="1:4" x14ac:dyDescent="0.25">
      <c r="A658" t="str">
        <f>T("   620590")</f>
        <v xml:space="preserve">   620590</v>
      </c>
      <c r="B65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58">
        <v>400000</v>
      </c>
      <c r="D658">
        <v>500</v>
      </c>
    </row>
    <row r="659" spans="1:4" x14ac:dyDescent="0.25">
      <c r="A659" t="str">
        <f>T("   660110")</f>
        <v xml:space="preserve">   660110</v>
      </c>
      <c r="B659" t="str">
        <f>T("   Parasols de jardin et articles simil. (sauf tentes de plage)")</f>
        <v xml:space="preserve">   Parasols de jardin et articles simil. (sauf tentes de plage)</v>
      </c>
      <c r="C659">
        <v>19800000</v>
      </c>
      <c r="D659">
        <v>1950</v>
      </c>
    </row>
    <row r="660" spans="1:4" x14ac:dyDescent="0.25">
      <c r="A660" t="str">
        <f>T("   721590")</f>
        <v xml:space="preserve">   721590</v>
      </c>
      <c r="B66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660">
        <v>53570000</v>
      </c>
      <c r="D660">
        <v>134000</v>
      </c>
    </row>
    <row r="661" spans="1:4" x14ac:dyDescent="0.25">
      <c r="A661" t="str">
        <f>T("   732393")</f>
        <v xml:space="preserve">   732393</v>
      </c>
      <c r="B661" t="s">
        <v>71</v>
      </c>
      <c r="C661">
        <v>1446395</v>
      </c>
      <c r="D661">
        <v>3750</v>
      </c>
    </row>
    <row r="662" spans="1:4" x14ac:dyDescent="0.25">
      <c r="A662" t="str">
        <f>T("   732394")</f>
        <v xml:space="preserve">   732394</v>
      </c>
      <c r="B662" t="s">
        <v>72</v>
      </c>
      <c r="C662">
        <v>200000</v>
      </c>
      <c r="D662">
        <v>300</v>
      </c>
    </row>
    <row r="663" spans="1:4" x14ac:dyDescent="0.25">
      <c r="A663" t="str">
        <f>T("   732690")</f>
        <v xml:space="preserve">   732690</v>
      </c>
      <c r="B66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63">
        <v>1455000</v>
      </c>
      <c r="D663">
        <v>30</v>
      </c>
    </row>
    <row r="664" spans="1:4" x14ac:dyDescent="0.25">
      <c r="A664" t="str">
        <f>T("   841381")</f>
        <v xml:space="preserve">   841381</v>
      </c>
      <c r="B664" t="s">
        <v>81</v>
      </c>
      <c r="C664">
        <v>8815446</v>
      </c>
      <c r="D664">
        <v>1690</v>
      </c>
    </row>
    <row r="665" spans="1:4" x14ac:dyDescent="0.25">
      <c r="A665" t="str">
        <f>T("   842920")</f>
        <v xml:space="preserve">   842920</v>
      </c>
      <c r="B665" t="str">
        <f>T("   Niveleuses autopropulsées")</f>
        <v xml:space="preserve">   Niveleuses autopropulsées</v>
      </c>
      <c r="C665">
        <v>64333333</v>
      </c>
      <c r="D665">
        <v>38586</v>
      </c>
    </row>
    <row r="666" spans="1:4" x14ac:dyDescent="0.25">
      <c r="A666" t="str">
        <f>T("   842940")</f>
        <v xml:space="preserve">   842940</v>
      </c>
      <c r="B666" t="str">
        <f>T("   Rouleaux compresseurs et autres compacteuses, autopropulsés")</f>
        <v xml:space="preserve">   Rouleaux compresseurs et autres compacteuses, autopropulsés</v>
      </c>
      <c r="C666">
        <v>32085723</v>
      </c>
      <c r="D666">
        <v>40879</v>
      </c>
    </row>
    <row r="667" spans="1:4" x14ac:dyDescent="0.25">
      <c r="A667" t="str">
        <f>T("   842951")</f>
        <v xml:space="preserve">   842951</v>
      </c>
      <c r="B667" t="str">
        <f>T("   Chargeuses et chargeuses-pelleteuses, à chargement frontal, autopropulsées")</f>
        <v xml:space="preserve">   Chargeuses et chargeuses-pelleteuses, à chargement frontal, autopropulsées</v>
      </c>
      <c r="C667">
        <v>62112256</v>
      </c>
      <c r="D667">
        <v>18200</v>
      </c>
    </row>
    <row r="668" spans="1:4" x14ac:dyDescent="0.25">
      <c r="A668" t="str">
        <f>T("   842959")</f>
        <v xml:space="preserve">   842959</v>
      </c>
      <c r="B668"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668">
        <v>152353320</v>
      </c>
      <c r="D668">
        <v>58800</v>
      </c>
    </row>
    <row r="669" spans="1:4" x14ac:dyDescent="0.25">
      <c r="A669" t="str">
        <f>T("   870332")</f>
        <v xml:space="preserve">   870332</v>
      </c>
      <c r="B669" t="s">
        <v>100</v>
      </c>
      <c r="C669">
        <v>6773235</v>
      </c>
      <c r="D669">
        <v>4395</v>
      </c>
    </row>
    <row r="670" spans="1:4" x14ac:dyDescent="0.25">
      <c r="A670" t="str">
        <f>T("   870421")</f>
        <v xml:space="preserve">   870421</v>
      </c>
      <c r="B670" t="s">
        <v>102</v>
      </c>
      <c r="C670">
        <v>3488168</v>
      </c>
      <c r="D670">
        <v>1945</v>
      </c>
    </row>
    <row r="671" spans="1:4" x14ac:dyDescent="0.25">
      <c r="A671" t="str">
        <f>T("   870422")</f>
        <v xml:space="preserve">   870422</v>
      </c>
      <c r="B671" t="s">
        <v>103</v>
      </c>
      <c r="C671">
        <v>46823080</v>
      </c>
      <c r="D671">
        <v>19800</v>
      </c>
    </row>
    <row r="672" spans="1:4" x14ac:dyDescent="0.25">
      <c r="A672" t="str">
        <f>T("   870540")</f>
        <v xml:space="preserve">   870540</v>
      </c>
      <c r="B672" t="str">
        <f>T("   Camions-bétonnières")</f>
        <v xml:space="preserve">   Camions-bétonnières</v>
      </c>
      <c r="C672">
        <v>56858612</v>
      </c>
      <c r="D672">
        <v>16100</v>
      </c>
    </row>
    <row r="673" spans="1:4" x14ac:dyDescent="0.25">
      <c r="A673" t="str">
        <f>T("   870839")</f>
        <v xml:space="preserve">   870839</v>
      </c>
      <c r="B673" t="str">
        <f>T("   FREINS ET SERVO-FREINS, ET LEURS PARTIES, POUR DE TRACTEURS, VÉHICULES POUR LE TRANSPORT DE &gt;= 10 PERSONNES, CHAUFFEUR INCLUS, VOITURES DE TOURISME, VÉHICULES POUR LE TRANSPORT DE MARCHANDISES ET VÉHICULES À USAGES SPÉCIAUX, N.D.A.")</f>
        <v xml:space="preserve">   FREINS ET SERVO-FREINS, ET LEURS PARTIES, POUR DE TRACTEURS, VÉHICULES POUR LE TRANSPORT DE &gt;= 10 PERSONNES, CHAUFFEUR INCLUS, VOITURES DE TOURISME, VÉHICULES POUR LE TRANSPORT DE MARCHANDISES ET VÉHICULES À USAGES SPÉCIAUX, N.D.A.</v>
      </c>
      <c r="C673">
        <v>2850000</v>
      </c>
      <c r="D673">
        <v>650</v>
      </c>
    </row>
    <row r="674" spans="1:4" x14ac:dyDescent="0.25">
      <c r="A674" t="str">
        <f>T("   940350")</f>
        <v xml:space="preserve">   940350</v>
      </c>
      <c r="B674" t="str">
        <f>T("   Meubles pour chambres à coucher, en bois (sauf sièges)")</f>
        <v xml:space="preserve">   Meubles pour chambres à coucher, en bois (sauf sièges)</v>
      </c>
      <c r="C674">
        <v>600000</v>
      </c>
      <c r="D674">
        <v>700</v>
      </c>
    </row>
    <row r="675" spans="1:4" x14ac:dyDescent="0.25">
      <c r="A675" t="str">
        <f>T("MQ")</f>
        <v>MQ</v>
      </c>
      <c r="B675" t="str">
        <f>T("Martinique")</f>
        <v>Martinique</v>
      </c>
    </row>
    <row r="676" spans="1:4" x14ac:dyDescent="0.25">
      <c r="A676" t="str">
        <f>T("   ZZ_Total_Produit_SH6")</f>
        <v xml:space="preserve">   ZZ_Total_Produit_SH6</v>
      </c>
      <c r="B676" t="str">
        <f>T("   ZZ_Total_Produit_SH6")</f>
        <v xml:space="preserve">   ZZ_Total_Produit_SH6</v>
      </c>
      <c r="C676">
        <v>1500000</v>
      </c>
      <c r="D676">
        <v>2000</v>
      </c>
    </row>
    <row r="677" spans="1:4" x14ac:dyDescent="0.25">
      <c r="A677" t="str">
        <f>T("   620590")</f>
        <v xml:space="preserve">   620590</v>
      </c>
      <c r="B67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77">
        <v>450000</v>
      </c>
      <c r="D677">
        <v>550</v>
      </c>
    </row>
    <row r="678" spans="1:4" x14ac:dyDescent="0.25">
      <c r="A678" t="str">
        <f>T("   732394")</f>
        <v xml:space="preserve">   732394</v>
      </c>
      <c r="B678" t="s">
        <v>72</v>
      </c>
      <c r="C678">
        <v>300000</v>
      </c>
      <c r="D678">
        <v>450</v>
      </c>
    </row>
    <row r="679" spans="1:4" x14ac:dyDescent="0.25">
      <c r="A679" t="str">
        <f>T("   940350")</f>
        <v xml:space="preserve">   940350</v>
      </c>
      <c r="B679" t="str">
        <f>T("   Meubles pour chambres à coucher, en bois (sauf sièges)")</f>
        <v xml:space="preserve">   Meubles pour chambres à coucher, en bois (sauf sièges)</v>
      </c>
      <c r="C679">
        <v>750000</v>
      </c>
      <c r="D679">
        <v>1000</v>
      </c>
    </row>
    <row r="680" spans="1:4" x14ac:dyDescent="0.25">
      <c r="A680" t="str">
        <f>T("MR")</f>
        <v>MR</v>
      </c>
      <c r="B680" t="str">
        <f>T("Mauritanie")</f>
        <v>Mauritanie</v>
      </c>
    </row>
    <row r="681" spans="1:4" x14ac:dyDescent="0.25">
      <c r="A681" t="str">
        <f>T("   ZZ_Total_Produit_SH6")</f>
        <v xml:space="preserve">   ZZ_Total_Produit_SH6</v>
      </c>
      <c r="B681" t="str">
        <f>T("   ZZ_Total_Produit_SH6")</f>
        <v xml:space="preserve">   ZZ_Total_Produit_SH6</v>
      </c>
      <c r="C681">
        <v>11409628</v>
      </c>
      <c r="D681">
        <v>2015</v>
      </c>
    </row>
    <row r="682" spans="1:4" x14ac:dyDescent="0.25">
      <c r="A682" t="str">
        <f>T("   732399")</f>
        <v xml:space="preserve">   732399</v>
      </c>
      <c r="B682" t="s">
        <v>73</v>
      </c>
      <c r="C682">
        <v>6167463</v>
      </c>
      <c r="D682">
        <v>1000</v>
      </c>
    </row>
    <row r="683" spans="1:4" x14ac:dyDescent="0.25">
      <c r="A683" t="str">
        <f>T("   870323")</f>
        <v xml:space="preserve">   870323</v>
      </c>
      <c r="B683" t="s">
        <v>98</v>
      </c>
      <c r="C683">
        <v>5242165</v>
      </c>
      <c r="D683">
        <v>1015</v>
      </c>
    </row>
    <row r="684" spans="1:4" x14ac:dyDescent="0.25">
      <c r="A684" t="str">
        <f>T("MU")</f>
        <v>MU</v>
      </c>
      <c r="B684" t="str">
        <f>T("Maurice, île")</f>
        <v>Maurice, île</v>
      </c>
    </row>
    <row r="685" spans="1:4" x14ac:dyDescent="0.25">
      <c r="A685" t="str">
        <f>T("   ZZ_Total_Produit_SH6")</f>
        <v xml:space="preserve">   ZZ_Total_Produit_SH6</v>
      </c>
      <c r="B685" t="str">
        <f>T("   ZZ_Total_Produit_SH6")</f>
        <v xml:space="preserve">   ZZ_Total_Produit_SH6</v>
      </c>
      <c r="C685">
        <v>515190316</v>
      </c>
      <c r="D685">
        <v>680421</v>
      </c>
    </row>
    <row r="686" spans="1:4" x14ac:dyDescent="0.25">
      <c r="A686" t="str">
        <f>T("   520100")</f>
        <v xml:space="preserve">   520100</v>
      </c>
      <c r="B686" t="str">
        <f>T("   COTON, NON-CARDÉ NI PEIGNÉ")</f>
        <v xml:space="preserve">   COTON, NON-CARDÉ NI PEIGNÉ</v>
      </c>
      <c r="C686">
        <v>515190316</v>
      </c>
      <c r="D686">
        <v>680421</v>
      </c>
    </row>
    <row r="687" spans="1:4" x14ac:dyDescent="0.25">
      <c r="A687" t="str">
        <f>T("MY")</f>
        <v>MY</v>
      </c>
      <c r="B687" t="str">
        <f>T("Malaisie")</f>
        <v>Malaisie</v>
      </c>
    </row>
    <row r="688" spans="1:4" x14ac:dyDescent="0.25">
      <c r="A688" t="str">
        <f>T("   ZZ_Total_Produit_SH6")</f>
        <v xml:space="preserve">   ZZ_Total_Produit_SH6</v>
      </c>
      <c r="B688" t="str">
        <f>T("   ZZ_Total_Produit_SH6")</f>
        <v xml:space="preserve">   ZZ_Total_Produit_SH6</v>
      </c>
      <c r="C688">
        <v>6531984383</v>
      </c>
      <c r="D688">
        <v>10695532</v>
      </c>
    </row>
    <row r="689" spans="1:4" x14ac:dyDescent="0.25">
      <c r="A689" t="str">
        <f>T("   151190")</f>
        <v xml:space="preserve">   151190</v>
      </c>
      <c r="B689" t="str">
        <f>T("   Huile de palme et ses fractions, même raffinées, mais non chimiquement modifiées (à l'excl. de l'huile de palme brute)")</f>
        <v xml:space="preserve">   Huile de palme et ses fractions, même raffinées, mais non chimiquement modifiées (à l'excl. de l'huile de palme brute)</v>
      </c>
      <c r="C689">
        <v>21428335</v>
      </c>
      <c r="D689">
        <v>40092</v>
      </c>
    </row>
    <row r="690" spans="1:4" x14ac:dyDescent="0.25">
      <c r="A690" t="str">
        <f>T("   151590")</f>
        <v xml:space="preserve">   151590</v>
      </c>
      <c r="B690" t="s">
        <v>17</v>
      </c>
      <c r="C690">
        <v>1275815193</v>
      </c>
      <c r="D690">
        <v>2803820</v>
      </c>
    </row>
    <row r="691" spans="1:4" x14ac:dyDescent="0.25">
      <c r="A691" t="str">
        <f>T("   392321")</f>
        <v xml:space="preserve">   392321</v>
      </c>
      <c r="B691" t="str">
        <f>T("   Sacs, sachets, pochettes et cornets, en polymères de l'éthylène")</f>
        <v xml:space="preserve">   Sacs, sachets, pochettes et cornets, en polymères de l'éthylène</v>
      </c>
      <c r="C691">
        <v>5328476</v>
      </c>
      <c r="D691">
        <v>4585</v>
      </c>
    </row>
    <row r="692" spans="1:4" x14ac:dyDescent="0.25">
      <c r="A692" t="str">
        <f>T("   440799")</f>
        <v xml:space="preserve">   440799</v>
      </c>
      <c r="B692" t="s">
        <v>48</v>
      </c>
      <c r="C692">
        <v>2500000</v>
      </c>
      <c r="D692">
        <v>180000</v>
      </c>
    </row>
    <row r="693" spans="1:4" x14ac:dyDescent="0.25">
      <c r="A693" t="str">
        <f>T("   520100")</f>
        <v xml:space="preserve">   520100</v>
      </c>
      <c r="B693" t="str">
        <f>T("   COTON, NON-CARDÉ NI PEIGNÉ")</f>
        <v xml:space="preserve">   COTON, NON-CARDÉ NI PEIGNÉ</v>
      </c>
      <c r="C693">
        <v>5191333437</v>
      </c>
      <c r="D693">
        <v>6756245</v>
      </c>
    </row>
    <row r="694" spans="1:4" x14ac:dyDescent="0.25">
      <c r="A694" t="str">
        <f>T("   720449")</f>
        <v xml:space="preserve">   720449</v>
      </c>
      <c r="B694" t="s">
        <v>64</v>
      </c>
      <c r="C694">
        <v>27500000</v>
      </c>
      <c r="D694">
        <v>900000</v>
      </c>
    </row>
    <row r="695" spans="1:4" x14ac:dyDescent="0.25">
      <c r="A695" t="str">
        <f>T("   732620")</f>
        <v xml:space="preserve">   732620</v>
      </c>
      <c r="B695" t="str">
        <f>T("   Ouvrages en fil de fer ou d'acier, n.d.a.")</f>
        <v xml:space="preserve">   Ouvrages en fil de fer ou d'acier, n.d.a.</v>
      </c>
      <c r="C695">
        <v>8078942</v>
      </c>
      <c r="D695">
        <v>10790</v>
      </c>
    </row>
    <row r="696" spans="1:4" x14ac:dyDescent="0.25">
      <c r="A696" t="str">
        <f>T("MZ")</f>
        <v>MZ</v>
      </c>
      <c r="B696" t="str">
        <f>T("Mozambique")</f>
        <v>Mozambique</v>
      </c>
    </row>
    <row r="697" spans="1:4" x14ac:dyDescent="0.25">
      <c r="A697" t="str">
        <f>T("   ZZ_Total_Produit_SH6")</f>
        <v xml:space="preserve">   ZZ_Total_Produit_SH6</v>
      </c>
      <c r="B697" t="str">
        <f>T("   ZZ_Total_Produit_SH6")</f>
        <v xml:space="preserve">   ZZ_Total_Produit_SH6</v>
      </c>
      <c r="C697">
        <v>400000</v>
      </c>
      <c r="D697">
        <v>10000</v>
      </c>
    </row>
    <row r="698" spans="1:4" x14ac:dyDescent="0.25">
      <c r="A698" t="str">
        <f>T("   940380")</f>
        <v xml:space="preserve">   940380</v>
      </c>
      <c r="B698" t="str">
        <f>T("   Meubles en rotin, osier, bambou ou autres matières (sauf métal, bois et matières plastiques)")</f>
        <v xml:space="preserve">   Meubles en rotin, osier, bambou ou autres matières (sauf métal, bois et matières plastiques)</v>
      </c>
      <c r="C698">
        <v>400000</v>
      </c>
      <c r="D698">
        <v>10000</v>
      </c>
    </row>
    <row r="699" spans="1:4" x14ac:dyDescent="0.25">
      <c r="A699" t="str">
        <f>T("NE")</f>
        <v>NE</v>
      </c>
      <c r="B699" t="str">
        <f>T("Niger")</f>
        <v>Niger</v>
      </c>
    </row>
    <row r="700" spans="1:4" x14ac:dyDescent="0.25">
      <c r="A700" t="str">
        <f>T("   ZZ_Total_Produit_SH6")</f>
        <v xml:space="preserve">   ZZ_Total_Produit_SH6</v>
      </c>
      <c r="B700" t="str">
        <f>T("   ZZ_Total_Produit_SH6")</f>
        <v xml:space="preserve">   ZZ_Total_Produit_SH6</v>
      </c>
      <c r="C700">
        <v>4351040039</v>
      </c>
      <c r="D700">
        <v>15546907.33</v>
      </c>
    </row>
    <row r="701" spans="1:4" x14ac:dyDescent="0.25">
      <c r="A701" t="str">
        <f>T("   110100")</f>
        <v xml:space="preserve">   110100</v>
      </c>
      <c r="B701" t="str">
        <f>T("   Farines de froment [blé] ou de méteil")</f>
        <v xml:space="preserve">   Farines de froment [blé] ou de méteil</v>
      </c>
      <c r="C701">
        <v>89600000</v>
      </c>
      <c r="D701">
        <v>640000</v>
      </c>
    </row>
    <row r="702" spans="1:4" x14ac:dyDescent="0.25">
      <c r="A702" t="str">
        <f>T("   110423")</f>
        <v xml:space="preserve">   110423</v>
      </c>
      <c r="B702" t="str">
        <f>T("   Grains de maïs, mondés, perlés, tranchés, concassés ou autrement travaillés (à l'excl. de la farine de maïs)")</f>
        <v xml:space="preserve">   Grains de maïs, mondés, perlés, tranchés, concassés ou autrement travaillés (à l'excl. de la farine de maïs)</v>
      </c>
      <c r="C702">
        <v>90140000</v>
      </c>
      <c r="D702">
        <v>280000</v>
      </c>
    </row>
    <row r="703" spans="1:4" x14ac:dyDescent="0.25">
      <c r="A703" t="str">
        <f>T("   190230")</f>
        <v xml:space="preserve">   190230</v>
      </c>
      <c r="B703" t="str">
        <f>T("   Pâtes alimentaires, cuites ou autrement préparées (à l'excl. des pâtes alimentaires farcies)")</f>
        <v xml:space="preserve">   Pâtes alimentaires, cuites ou autrement préparées (à l'excl. des pâtes alimentaires farcies)</v>
      </c>
      <c r="C703">
        <v>69750000</v>
      </c>
      <c r="D703">
        <v>180000</v>
      </c>
    </row>
    <row r="704" spans="1:4" x14ac:dyDescent="0.25">
      <c r="A704" t="str">
        <f>T("   200949")</f>
        <v xml:space="preserve">   200949</v>
      </c>
      <c r="B704"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04">
        <v>11130000</v>
      </c>
      <c r="D704">
        <v>56300</v>
      </c>
    </row>
    <row r="705" spans="1:4" x14ac:dyDescent="0.25">
      <c r="A705" t="str">
        <f>T("   220110")</f>
        <v xml:space="preserve">   220110</v>
      </c>
      <c r="B705" t="str">
        <f>T("   Eaux minérales et eaux gazéifiées, non additionnées de sucre ou d'autres édulcorants ni aromatisées")</f>
        <v xml:space="preserve">   Eaux minérales et eaux gazéifiées, non additionnées de sucre ou d'autres édulcorants ni aromatisées</v>
      </c>
      <c r="C705">
        <v>10495000</v>
      </c>
      <c r="D705">
        <v>82600</v>
      </c>
    </row>
    <row r="706" spans="1:4" x14ac:dyDescent="0.25">
      <c r="A706" t="str">
        <f>T("   220870")</f>
        <v xml:space="preserve">   220870</v>
      </c>
      <c r="B706" t="str">
        <f>T("   LIQUEURS")</f>
        <v xml:space="preserve">   LIQUEURS</v>
      </c>
      <c r="C706">
        <v>5695000</v>
      </c>
      <c r="D706">
        <v>28160</v>
      </c>
    </row>
    <row r="707" spans="1:4" x14ac:dyDescent="0.25">
      <c r="A707" t="str">
        <f>T("   230230")</f>
        <v xml:space="preserve">   230230</v>
      </c>
      <c r="B707" t="str">
        <f>T("   Sons, remoulages et autres résidus, même agglomérés sous forme de pellets, du criblage, de la mouture ou d'autres traitements du froment")</f>
        <v xml:space="preserve">   Sons, remoulages et autres résidus, même agglomérés sous forme de pellets, du criblage, de la mouture ou d'autres traitements du froment</v>
      </c>
      <c r="C707">
        <v>149540000</v>
      </c>
      <c r="D707">
        <v>1750000</v>
      </c>
    </row>
    <row r="708" spans="1:4" x14ac:dyDescent="0.25">
      <c r="A708" t="str">
        <f>T("   340120")</f>
        <v xml:space="preserve">   340120</v>
      </c>
      <c r="B708" t="str">
        <f>T("   Savons en flocons, en paillettes, en granulés ou en poudres et savons liquides ou pâteux")</f>
        <v xml:space="preserve">   Savons en flocons, en paillettes, en granulés ou en poudres et savons liquides ou pâteux</v>
      </c>
      <c r="C708">
        <v>12810000</v>
      </c>
      <c r="D708">
        <v>14700</v>
      </c>
    </row>
    <row r="709" spans="1:4" x14ac:dyDescent="0.25">
      <c r="A709" t="str">
        <f>T("   391721")</f>
        <v xml:space="preserve">   391721</v>
      </c>
      <c r="B709" t="str">
        <f>T("   TUBES ET TUYAUX RIGIDES, EN POLYMÈRES DE L'ÉTHYLÈNE")</f>
        <v xml:space="preserve">   TUBES ET TUYAUX RIGIDES, EN POLYMÈRES DE L'ÉTHYLÈNE</v>
      </c>
      <c r="C709">
        <v>21693500</v>
      </c>
      <c r="D709">
        <v>39362</v>
      </c>
    </row>
    <row r="710" spans="1:4" x14ac:dyDescent="0.25">
      <c r="A710" t="str">
        <f>T("   482020")</f>
        <v xml:space="preserve">   482020</v>
      </c>
      <c r="B710" t="str">
        <f>T("   Cahiers pour l'écriture, en papier ou carton")</f>
        <v xml:space="preserve">   Cahiers pour l'écriture, en papier ou carton</v>
      </c>
      <c r="C710">
        <v>750000</v>
      </c>
      <c r="D710">
        <v>2000</v>
      </c>
    </row>
    <row r="711" spans="1:4" x14ac:dyDescent="0.25">
      <c r="A711" t="str">
        <f>T("   490199")</f>
        <v xml:space="preserve">   490199</v>
      </c>
      <c r="B71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11">
        <v>19841200</v>
      </c>
      <c r="D711">
        <v>3000</v>
      </c>
    </row>
    <row r="712" spans="1:4" x14ac:dyDescent="0.25">
      <c r="A712" t="str">
        <f>T("   520812")</f>
        <v xml:space="preserve">   520812</v>
      </c>
      <c r="B712" t="str">
        <f>T("   Tissus de coton, écrus, à armure toile, contenant &gt;= 85% en poids de coton, d'un poids &gt; 100 g/m² mais &lt;= 200 g/m²")</f>
        <v xml:space="preserve">   Tissus de coton, écrus, à armure toile, contenant &gt;= 85% en poids de coton, d'un poids &gt; 100 g/m² mais &lt;= 200 g/m²</v>
      </c>
      <c r="C712">
        <v>241050600</v>
      </c>
      <c r="D712">
        <v>102000</v>
      </c>
    </row>
    <row r="713" spans="1:4" x14ac:dyDescent="0.25">
      <c r="A713" t="str">
        <f>T("   610349")</f>
        <v xml:space="preserve">   610349</v>
      </c>
      <c r="B713" t="str">
        <f>T("   PANTALONS, Y.C. KNICKERS ET PANTALONS SIMIL., SALOPETTES À BRETELLES, CULOTTES ET SHORTS, EN BONNETERIE, DE MATIÈRES TEXTILES, POUR HOMMES OU GARÇONNETS (SAUF DE LAINE, POILS FINS, COTON OU FIBRES SYNTHÉTIQUES ET SAUF CALETHONS ET SLIPS DE BAIN)")</f>
        <v xml:space="preserve">   PANTALONS, Y.C. KNICKERS ET PANTALONS SIMIL., SALOPETTES À BRETELLES, CULOTTES ET SHORTS, EN BONNETERIE, DE MATIÈRES TEXTILES, POUR HOMMES OU GARÇONNETS (SAUF DE LAINE, POILS FINS, COTON OU FIBRES SYNTHÉTIQUES ET SAUF CALETHONS ET SLIPS DE BAIN)</v>
      </c>
      <c r="C713">
        <v>10500000</v>
      </c>
      <c r="D713">
        <v>4500</v>
      </c>
    </row>
    <row r="714" spans="1:4" x14ac:dyDescent="0.25">
      <c r="A714" t="str">
        <f>T("   620590")</f>
        <v xml:space="preserve">   620590</v>
      </c>
      <c r="B71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14">
        <v>1150000</v>
      </c>
      <c r="D714">
        <v>1800</v>
      </c>
    </row>
    <row r="715" spans="1:4" x14ac:dyDescent="0.25">
      <c r="A715" t="str">
        <f>T("   721391")</f>
        <v xml:space="preserve">   721391</v>
      </c>
      <c r="B715"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15">
        <v>59151579</v>
      </c>
      <c r="D715">
        <v>180000</v>
      </c>
    </row>
    <row r="716" spans="1:4" x14ac:dyDescent="0.25">
      <c r="A716" t="str">
        <f>T("   721590")</f>
        <v xml:space="preserve">   721590</v>
      </c>
      <c r="B716"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716">
        <v>3449210030</v>
      </c>
      <c r="D716">
        <v>12030000</v>
      </c>
    </row>
    <row r="717" spans="1:4" x14ac:dyDescent="0.25">
      <c r="A717" t="str">
        <f>T("   730840")</f>
        <v xml:space="preserve">   730840</v>
      </c>
      <c r="B717"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717">
        <v>22037702</v>
      </c>
      <c r="D717">
        <v>39852</v>
      </c>
    </row>
    <row r="718" spans="1:4" x14ac:dyDescent="0.25">
      <c r="A718" t="str">
        <f>T("   730890")</f>
        <v xml:space="preserve">   730890</v>
      </c>
      <c r="B718" t="s">
        <v>67</v>
      </c>
      <c r="C718">
        <v>2200000</v>
      </c>
      <c r="D718">
        <v>2800</v>
      </c>
    </row>
    <row r="719" spans="1:4" x14ac:dyDescent="0.25">
      <c r="A719" t="str">
        <f>T("   731700")</f>
        <v xml:space="preserve">   731700</v>
      </c>
      <c r="B719"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719">
        <v>18000000</v>
      </c>
      <c r="D719">
        <v>60000</v>
      </c>
    </row>
    <row r="720" spans="1:4" x14ac:dyDescent="0.25">
      <c r="A720" t="str">
        <f>T("   732394")</f>
        <v xml:space="preserve">   732394</v>
      </c>
      <c r="B720" t="s">
        <v>72</v>
      </c>
      <c r="C720">
        <v>950000</v>
      </c>
      <c r="D720">
        <v>1500</v>
      </c>
    </row>
    <row r="721" spans="1:4" x14ac:dyDescent="0.25">
      <c r="A721" t="str">
        <f>T("   840820")</f>
        <v xml:space="preserve">   840820</v>
      </c>
      <c r="B721" t="s">
        <v>79</v>
      </c>
      <c r="C721">
        <v>600000</v>
      </c>
      <c r="D721">
        <v>200</v>
      </c>
    </row>
    <row r="722" spans="1:4" x14ac:dyDescent="0.25">
      <c r="A722" t="str">
        <f>T("   841510")</f>
        <v xml:space="preserve">   841510</v>
      </c>
      <c r="B722" t="s">
        <v>82</v>
      </c>
      <c r="C722">
        <v>700000</v>
      </c>
      <c r="D722">
        <v>150</v>
      </c>
    </row>
    <row r="723" spans="1:4" x14ac:dyDescent="0.25">
      <c r="A723" t="str">
        <f>T("   843141")</f>
        <v xml:space="preserve">   843141</v>
      </c>
      <c r="B723" t="str">
        <f>T("   Godets, bennes, bennes-preneuses, pelles, grappins et pinces pour machines et appareils du n° 8426, 8429 ou 8430")</f>
        <v xml:space="preserve">   Godets, bennes, bennes-preneuses, pelles, grappins et pinces pour machines et appareils du n° 8426, 8429 ou 8430</v>
      </c>
      <c r="C723">
        <v>15308274</v>
      </c>
      <c r="D723">
        <v>27864</v>
      </c>
    </row>
    <row r="724" spans="1:4" x14ac:dyDescent="0.25">
      <c r="A724" t="str">
        <f>T("   847431")</f>
        <v xml:space="preserve">   847431</v>
      </c>
      <c r="B72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724">
        <v>4707050</v>
      </c>
      <c r="D724">
        <v>4800</v>
      </c>
    </row>
    <row r="725" spans="1:4" x14ac:dyDescent="0.25">
      <c r="A725" t="str">
        <f>T("   850211")</f>
        <v xml:space="preserve">   850211</v>
      </c>
      <c r="B725" t="s">
        <v>91</v>
      </c>
      <c r="C725">
        <v>11082320</v>
      </c>
      <c r="D725">
        <v>1761.33</v>
      </c>
    </row>
    <row r="726" spans="1:4" x14ac:dyDescent="0.25">
      <c r="A726" t="str">
        <f>T("   850212")</f>
        <v xml:space="preserve">   850212</v>
      </c>
      <c r="B72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26">
        <v>1000000</v>
      </c>
      <c r="D726">
        <v>1000</v>
      </c>
    </row>
    <row r="727" spans="1:4" x14ac:dyDescent="0.25">
      <c r="A727" t="str">
        <f>T("   851430")</f>
        <v xml:space="preserve">   851430</v>
      </c>
      <c r="B727" t="str">
        <f>T("   Fours électriques industriels ou de laboratoires (autres que les fours à résistance, à chauffage indirect, les fours fonctionnant par induction ou par perte diélectrique et les étuves)")</f>
        <v xml:space="preserve">   Fours électriques industriels ou de laboratoires (autres que les fours à résistance, à chauffage indirect, les fours fonctionnant par induction ou par perte diélectrique et les étuves)</v>
      </c>
      <c r="C727">
        <v>6500000</v>
      </c>
      <c r="D727">
        <v>800</v>
      </c>
    </row>
    <row r="728" spans="1:4" x14ac:dyDescent="0.25">
      <c r="A728" t="str">
        <f>T("   853931")</f>
        <v xml:space="preserve">   853931</v>
      </c>
      <c r="B728" t="str">
        <f>T("   Lampes et tubes à décharge, fluorescents, à cathode chaude")</f>
        <v xml:space="preserve">   Lampes et tubes à décharge, fluorescents, à cathode chaude</v>
      </c>
      <c r="C728">
        <v>3830880</v>
      </c>
      <c r="D728">
        <v>2187</v>
      </c>
    </row>
    <row r="729" spans="1:4" x14ac:dyDescent="0.25">
      <c r="A729" t="str">
        <f>T("   870323")</f>
        <v xml:space="preserve">   870323</v>
      </c>
      <c r="B729" t="s">
        <v>98</v>
      </c>
      <c r="C729">
        <v>10371384</v>
      </c>
      <c r="D729">
        <v>1717</v>
      </c>
    </row>
    <row r="730" spans="1:4" x14ac:dyDescent="0.25">
      <c r="A730" t="str">
        <f>T("   900911")</f>
        <v xml:space="preserve">   900911</v>
      </c>
      <c r="B730" t="str">
        <f>T("   Appareils de photocopie électrostatiques, fonctionnant par reproduction directe de l'image de l'original sur la copie [procédé direct]")</f>
        <v xml:space="preserve">   Appareils de photocopie électrostatiques, fonctionnant par reproduction directe de l'image de l'original sur la copie [procédé direct]</v>
      </c>
      <c r="C730">
        <v>2220000</v>
      </c>
      <c r="D730">
        <v>80</v>
      </c>
    </row>
    <row r="731" spans="1:4" x14ac:dyDescent="0.25">
      <c r="A731" t="str">
        <f>T("   940350")</f>
        <v xml:space="preserve">   940350</v>
      </c>
      <c r="B731" t="str">
        <f>T("   Meubles pour chambres à coucher, en bois (sauf sièges)")</f>
        <v xml:space="preserve">   Meubles pour chambres à coucher, en bois (sauf sièges)</v>
      </c>
      <c r="C731">
        <v>1900000</v>
      </c>
      <c r="D731">
        <v>3200</v>
      </c>
    </row>
    <row r="732" spans="1:4" x14ac:dyDescent="0.25">
      <c r="A732" t="str">
        <f>T("   940360")</f>
        <v xml:space="preserve">   940360</v>
      </c>
      <c r="B732" t="str">
        <f>T("   Meubles en bois (autres que pour bureaux, cuisines ou chambres à coucher et autres que sièges)")</f>
        <v xml:space="preserve">   Meubles en bois (autres que pour bureaux, cuisines ou chambres à coucher et autres que sièges)</v>
      </c>
      <c r="C732">
        <v>2632000</v>
      </c>
      <c r="D732">
        <v>1200</v>
      </c>
    </row>
    <row r="733" spans="1:4" x14ac:dyDescent="0.25">
      <c r="A733" t="str">
        <f>T("   940380")</f>
        <v xml:space="preserve">   940380</v>
      </c>
      <c r="B733" t="str">
        <f>T("   Meubles en rotin, osier, bambou ou autres matières (sauf métal, bois et matières plastiques)")</f>
        <v xml:space="preserve">   Meubles en rotin, osier, bambou ou autres matières (sauf métal, bois et matières plastiques)</v>
      </c>
      <c r="C733">
        <v>2520000</v>
      </c>
      <c r="D733">
        <v>1500</v>
      </c>
    </row>
    <row r="734" spans="1:4" x14ac:dyDescent="0.25">
      <c r="A734" t="str">
        <f>T("   940591")</f>
        <v xml:space="preserve">   940591</v>
      </c>
      <c r="B734" t="str">
        <f>T("   Parties en verres d'appareils d'éclairage, de lampes-réclames, d'enseignes lumineuses, de plaques indicatrices lumineuses, et simil., n.d.a.")</f>
        <v xml:space="preserve">   Parties en verres d'appareils d'éclairage, de lampes-réclames, d'enseignes lumineuses, de plaques indicatrices lumineuses, et simil., n.d.a.</v>
      </c>
      <c r="C734">
        <v>1973520</v>
      </c>
      <c r="D734">
        <v>1874</v>
      </c>
    </row>
    <row r="735" spans="1:4" x14ac:dyDescent="0.25">
      <c r="A735" t="str">
        <f>T("NG")</f>
        <v>NG</v>
      </c>
      <c r="B735" t="str">
        <f>T("Nigéria")</f>
        <v>Nigéria</v>
      </c>
    </row>
    <row r="736" spans="1:4" x14ac:dyDescent="0.25">
      <c r="A736" t="str">
        <f>T("   ZZ_Total_Produit_SH6")</f>
        <v xml:space="preserve">   ZZ_Total_Produit_SH6</v>
      </c>
      <c r="B736" t="str">
        <f>T("   ZZ_Total_Produit_SH6")</f>
        <v xml:space="preserve">   ZZ_Total_Produit_SH6</v>
      </c>
      <c r="C736">
        <v>14880527417</v>
      </c>
      <c r="D736">
        <v>75101125</v>
      </c>
    </row>
    <row r="737" spans="1:4" x14ac:dyDescent="0.25">
      <c r="A737" t="str">
        <f>T("   100630")</f>
        <v xml:space="preserve">   100630</v>
      </c>
      <c r="B737" t="str">
        <f>T("   Riz semi-blanchi ou blanchi, même poli ou glacé")</f>
        <v xml:space="preserve">   Riz semi-blanchi ou blanchi, même poli ou glacé</v>
      </c>
      <c r="C737">
        <v>4318490000</v>
      </c>
      <c r="D737">
        <v>60110110</v>
      </c>
    </row>
    <row r="738" spans="1:4" x14ac:dyDescent="0.25">
      <c r="A738" t="str">
        <f>T("   151190")</f>
        <v xml:space="preserve">   151190</v>
      </c>
      <c r="B738" t="str">
        <f>T("   Huile de palme et ses fractions, même raffinées, mais non chimiquement modifiées (à l'excl. de l'huile de palme brute)")</f>
        <v xml:space="preserve">   Huile de palme et ses fractions, même raffinées, mais non chimiquement modifiées (à l'excl. de l'huile de palme brute)</v>
      </c>
      <c r="C738">
        <v>510609200</v>
      </c>
      <c r="D738">
        <v>709700</v>
      </c>
    </row>
    <row r="739" spans="1:4" x14ac:dyDescent="0.25">
      <c r="A739" t="str">
        <f>T("   151219")</f>
        <v xml:space="preserve">   151219</v>
      </c>
      <c r="B739"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739">
        <v>47340500</v>
      </c>
      <c r="D739">
        <v>65980</v>
      </c>
    </row>
    <row r="740" spans="1:4" x14ac:dyDescent="0.25">
      <c r="A740" t="str">
        <f>T("   151229")</f>
        <v xml:space="preserve">   151229</v>
      </c>
      <c r="B740"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740">
        <v>4235606240</v>
      </c>
      <c r="D740">
        <v>5796370</v>
      </c>
    </row>
    <row r="741" spans="1:4" x14ac:dyDescent="0.25">
      <c r="A741" t="str">
        <f>T("   151620")</f>
        <v xml:space="preserve">   151620</v>
      </c>
      <c r="B741"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741">
        <v>919560411</v>
      </c>
      <c r="D741">
        <v>1332818</v>
      </c>
    </row>
    <row r="742" spans="1:4" x14ac:dyDescent="0.25">
      <c r="A742" t="str">
        <f>T("   190230")</f>
        <v xml:space="preserve">   190230</v>
      </c>
      <c r="B742" t="str">
        <f>T("   Pâtes alimentaires, cuites ou autrement préparées (à l'excl. des pâtes alimentaires farcies)")</f>
        <v xml:space="preserve">   Pâtes alimentaires, cuites ou autrement préparées (à l'excl. des pâtes alimentaires farcies)</v>
      </c>
      <c r="C742">
        <v>42000000</v>
      </c>
      <c r="D742">
        <v>80000</v>
      </c>
    </row>
    <row r="743" spans="1:4" x14ac:dyDescent="0.25">
      <c r="A743" t="str">
        <f>T("   271019")</f>
        <v xml:space="preserve">   271019</v>
      </c>
      <c r="B743" t="str">
        <f>T("   Huiles moyennes et préparations, de pétrole ou de minéraux bitumineux, n.d.a.")</f>
        <v xml:space="preserve">   Huiles moyennes et préparations, de pétrole ou de minéraux bitumineux, n.d.a.</v>
      </c>
      <c r="C743">
        <v>38845856</v>
      </c>
      <c r="D743">
        <v>87595</v>
      </c>
    </row>
    <row r="744" spans="1:4" x14ac:dyDescent="0.25">
      <c r="A744" t="str">
        <f>T("   340119")</f>
        <v xml:space="preserve">   340119</v>
      </c>
      <c r="B744" t="s">
        <v>34</v>
      </c>
      <c r="C744">
        <v>209104576</v>
      </c>
      <c r="D744">
        <v>322750</v>
      </c>
    </row>
    <row r="745" spans="1:4" x14ac:dyDescent="0.25">
      <c r="A745" t="str">
        <f>T("   391721")</f>
        <v xml:space="preserve">   391721</v>
      </c>
      <c r="B745" t="str">
        <f>T("   TUBES ET TUYAUX RIGIDES, EN POLYMÈRES DE L'ÉTHYLÈNE")</f>
        <v xml:space="preserve">   TUBES ET TUYAUX RIGIDES, EN POLYMÈRES DE L'ÉTHYLÈNE</v>
      </c>
      <c r="C745">
        <v>735416928</v>
      </c>
      <c r="D745">
        <v>2752464</v>
      </c>
    </row>
    <row r="746" spans="1:4" x14ac:dyDescent="0.25">
      <c r="A746" t="str">
        <f>T("   391723")</f>
        <v xml:space="preserve">   391723</v>
      </c>
      <c r="B746" t="str">
        <f>T("   TUBES ET TUYAUX RIGIDES, EN POLYMÈRES DU CHLORURE DE VINYLE")</f>
        <v xml:space="preserve">   TUBES ET TUYAUX RIGIDES, EN POLYMÈRES DU CHLORURE DE VINYLE</v>
      </c>
      <c r="C746">
        <v>20574960</v>
      </c>
      <c r="D746">
        <v>17160</v>
      </c>
    </row>
    <row r="747" spans="1:4" x14ac:dyDescent="0.25">
      <c r="A747" t="str">
        <f>T("   420299")</f>
        <v xml:space="preserve">   420299</v>
      </c>
      <c r="B747" t="s">
        <v>40</v>
      </c>
      <c r="C747">
        <v>3245689</v>
      </c>
      <c r="D747">
        <v>302</v>
      </c>
    </row>
    <row r="748" spans="1:4" x14ac:dyDescent="0.25">
      <c r="A748" t="str">
        <f>T("   440420")</f>
        <v xml:space="preserve">   440420</v>
      </c>
      <c r="B748" t="s">
        <v>46</v>
      </c>
      <c r="C748">
        <v>232005950</v>
      </c>
      <c r="D748">
        <v>1120000</v>
      </c>
    </row>
    <row r="749" spans="1:4" x14ac:dyDescent="0.25">
      <c r="A749" t="str">
        <f>T("   442190")</f>
        <v xml:space="preserve">   442190</v>
      </c>
      <c r="B749" t="str">
        <f>T("   Ouvrages, en bois, n.d.a.")</f>
        <v xml:space="preserve">   Ouvrages, en bois, n.d.a.</v>
      </c>
      <c r="C749">
        <v>11662586</v>
      </c>
      <c r="D749">
        <v>620</v>
      </c>
    </row>
    <row r="750" spans="1:4" x14ac:dyDescent="0.25">
      <c r="A750" t="str">
        <f>T("   490700")</f>
        <v xml:space="preserve">   490700</v>
      </c>
      <c r="B750" t="s">
        <v>52</v>
      </c>
      <c r="C750">
        <v>5700000</v>
      </c>
      <c r="D750">
        <v>2700</v>
      </c>
    </row>
    <row r="751" spans="1:4" x14ac:dyDescent="0.25">
      <c r="A751" t="str">
        <f>T("   520812")</f>
        <v xml:space="preserve">   520812</v>
      </c>
      <c r="B751" t="str">
        <f>T("   Tissus de coton, écrus, à armure toile, contenant &gt;= 85% en poids de coton, d'un poids &gt; 100 g/m² mais &lt;= 200 g/m²")</f>
        <v xml:space="preserve">   Tissus de coton, écrus, à armure toile, contenant &gt;= 85% en poids de coton, d'un poids &gt; 100 g/m² mais &lt;= 200 g/m²</v>
      </c>
      <c r="C751">
        <v>488235750</v>
      </c>
      <c r="D751">
        <v>182400</v>
      </c>
    </row>
    <row r="752" spans="1:4" x14ac:dyDescent="0.25">
      <c r="A752" t="str">
        <f>T("   610990")</f>
        <v xml:space="preserve">   610990</v>
      </c>
      <c r="B752" t="str">
        <f>T("   T-shirts et maillots de corps, en bonneterie, de matières textiles (sauf de coton)")</f>
        <v xml:space="preserve">   T-shirts et maillots de corps, en bonneterie, de matières textiles (sauf de coton)</v>
      </c>
      <c r="C752">
        <v>10687966</v>
      </c>
      <c r="D752">
        <v>544</v>
      </c>
    </row>
    <row r="753" spans="1:4" x14ac:dyDescent="0.25">
      <c r="A753" t="str">
        <f>T("   611090")</f>
        <v xml:space="preserve">   611090</v>
      </c>
      <c r="B753" t="str">
        <f>T("   Chandails, pull-overs, cardigans, gilets et articles simil., y.c. les sous-pulls, en bonneterie, de matières textiles (sauf de laine, poils fins, coton, fibres synthétiques ou artificielles et sauf gilets ouatinés)")</f>
        <v xml:space="preserve">   Chandails, pull-overs, cardigans, gilets et articles simil., y.c. les sous-pulls, en bonneterie, de matières textiles (sauf de laine, poils fins, coton, fibres synthétiques ou artificielles et sauf gilets ouatinés)</v>
      </c>
      <c r="C753">
        <v>2576005</v>
      </c>
      <c r="D753">
        <v>112</v>
      </c>
    </row>
    <row r="754" spans="1:4" x14ac:dyDescent="0.25">
      <c r="A754" t="str">
        <f>T("   650590")</f>
        <v xml:space="preserve">   650590</v>
      </c>
      <c r="B754" t="s">
        <v>59</v>
      </c>
      <c r="C754">
        <v>7005653</v>
      </c>
      <c r="D754">
        <v>658</v>
      </c>
    </row>
    <row r="755" spans="1:4" x14ac:dyDescent="0.25">
      <c r="A755" t="str">
        <f>T("   660199")</f>
        <v xml:space="preserve">   660199</v>
      </c>
      <c r="B755" t="str">
        <f>T("   Parapluies, y.c. les parapluies-cannes et ombrelles (sauf parapluies et ombrelles à mât ou à manche télescopique, parasols de jardin et articles simil. et sauf jouets d'enfants)")</f>
        <v xml:space="preserve">   Parapluies, y.c. les parapluies-cannes et ombrelles (sauf parapluies et ombrelles à mât ou à manche télescopique, parasols de jardin et articles simil. et sauf jouets d'enfants)</v>
      </c>
      <c r="C755">
        <v>1114476</v>
      </c>
      <c r="D755">
        <v>104</v>
      </c>
    </row>
    <row r="756" spans="1:4" x14ac:dyDescent="0.25">
      <c r="A756" t="str">
        <f>T("   720449")</f>
        <v xml:space="preserve">   720449</v>
      </c>
      <c r="B756" t="s">
        <v>64</v>
      </c>
      <c r="C756">
        <v>1000000</v>
      </c>
      <c r="D756">
        <v>20000</v>
      </c>
    </row>
    <row r="757" spans="1:4" x14ac:dyDescent="0.25">
      <c r="A757" t="str">
        <f>T("   720990")</f>
        <v xml:space="preserve">   720990</v>
      </c>
      <c r="B757"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757">
        <v>49500000</v>
      </c>
      <c r="D757">
        <v>93665</v>
      </c>
    </row>
    <row r="758" spans="1:4" x14ac:dyDescent="0.25">
      <c r="A758" t="str">
        <f>T("   721391")</f>
        <v xml:space="preserve">   721391</v>
      </c>
      <c r="B758"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758">
        <v>341340808</v>
      </c>
      <c r="D758">
        <v>905000</v>
      </c>
    </row>
    <row r="759" spans="1:4" x14ac:dyDescent="0.25">
      <c r="A759" t="str">
        <f>T("   721590")</f>
        <v xml:space="preserve">   721590</v>
      </c>
      <c r="B759"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759">
        <v>169050000</v>
      </c>
      <c r="D759">
        <v>465000</v>
      </c>
    </row>
    <row r="760" spans="1:4" x14ac:dyDescent="0.25">
      <c r="A760" t="str">
        <f>T("   730429")</f>
        <v xml:space="preserve">   730429</v>
      </c>
      <c r="B760" t="str">
        <f>T("   Tubes et tuyaux de cuvelage ou de production sans soudure, en fer (à l'excl. de la fonte) ou en acier, des types utilisés pour l'extraction du pétrole ou du gaz")</f>
        <v xml:space="preserve">   Tubes et tuyaux de cuvelage ou de production sans soudure, en fer (à l'excl. de la fonte) ou en acier, des types utilisés pour l'extraction du pétrole ou du gaz</v>
      </c>
      <c r="C760">
        <v>1845498</v>
      </c>
      <c r="D760">
        <v>1000</v>
      </c>
    </row>
    <row r="761" spans="1:4" x14ac:dyDescent="0.25">
      <c r="A761" t="str">
        <f>T("   730620")</f>
        <v xml:space="preserve">   730620</v>
      </c>
      <c r="B761" t="str">
        <f>T("   Tubes et tuyaux de cuvelage ou de production des types utilisés pour l'extraction du pétrole ou du gaz, en produits laminés plats en fer ou en acier, diamètre extérieur &lt;= 406,4 mm")</f>
        <v xml:space="preserve">   Tubes et tuyaux de cuvelage ou de production des types utilisés pour l'extraction du pétrole ou du gaz, en produits laminés plats en fer ou en acier, diamètre extérieur &lt;= 406,4 mm</v>
      </c>
      <c r="C761">
        <v>118639125</v>
      </c>
      <c r="D761">
        <v>366122</v>
      </c>
    </row>
    <row r="762" spans="1:4" x14ac:dyDescent="0.25">
      <c r="A762" t="str">
        <f>T("   821490")</f>
        <v xml:space="preserve">   821490</v>
      </c>
      <c r="B762" t="str">
        <f>T("   Tondeuses de coiffeur et autres articles à couper, n.d.a., en métaux communs")</f>
        <v xml:space="preserve">   Tondeuses de coiffeur et autres articles à couper, n.d.a., en métaux communs</v>
      </c>
      <c r="C762">
        <v>2063650</v>
      </c>
      <c r="D762">
        <v>192</v>
      </c>
    </row>
    <row r="763" spans="1:4" x14ac:dyDescent="0.25">
      <c r="A763" t="str">
        <f>T("   841290")</f>
        <v xml:space="preserve">   841290</v>
      </c>
      <c r="B763" t="str">
        <f>T("   PARTIES DE MOTEURS ET MACHINES MOTRICES NON-ÉLECTRIQUES, N.D.A.")</f>
        <v xml:space="preserve">   PARTIES DE MOTEURS ET MACHINES MOTRICES NON-ÉLECTRIQUES, N.D.A.</v>
      </c>
      <c r="C763">
        <v>13165827</v>
      </c>
      <c r="D763">
        <v>10452</v>
      </c>
    </row>
    <row r="764" spans="1:4" x14ac:dyDescent="0.25">
      <c r="A764" t="str">
        <f>T("   841861")</f>
        <v xml:space="preserve">   841861</v>
      </c>
      <c r="B764" t="str">
        <f>T("   Groupes à compression pour la production du froid, dont le condenseur est constitué par un échangeur de chaleur")</f>
        <v xml:space="preserve">   Groupes à compression pour la production du froid, dont le condenseur est constitué par un échangeur de chaleur</v>
      </c>
      <c r="C764">
        <v>12319202</v>
      </c>
      <c r="D764">
        <v>681</v>
      </c>
    </row>
    <row r="765" spans="1:4" x14ac:dyDescent="0.25">
      <c r="A765" t="str">
        <f>T("   842911")</f>
        <v xml:space="preserve">   842911</v>
      </c>
      <c r="B765" t="str">
        <f>T("   Bouteurs 'bulldozers' et bouteurs biais 'angledozers', à chenilles")</f>
        <v xml:space="preserve">   Bouteurs 'bulldozers' et bouteurs biais 'angledozers', à chenilles</v>
      </c>
      <c r="C765">
        <v>20132700</v>
      </c>
      <c r="D765">
        <v>97000</v>
      </c>
    </row>
    <row r="766" spans="1:4" x14ac:dyDescent="0.25">
      <c r="A766" t="str">
        <f>T("   842959")</f>
        <v xml:space="preserve">   842959</v>
      </c>
      <c r="B766"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66">
        <v>154350700</v>
      </c>
      <c r="D766">
        <v>125573</v>
      </c>
    </row>
    <row r="767" spans="1:4" x14ac:dyDescent="0.25">
      <c r="A767" t="str">
        <f>T("   843069")</f>
        <v xml:space="preserve">   843069</v>
      </c>
      <c r="B767" t="str">
        <f>T("   Machines et appareils de terrassement, nivellement, décapage, excavation, compactage, extraction ou forage de la terre, des minéraux ou des minerais, non autopropulsés, n.d.a.")</f>
        <v xml:space="preserve">   Machines et appareils de terrassement, nivellement, décapage, excavation, compactage, extraction ou forage de la terre, des minéraux ou des minerais, non autopropulsés, n.d.a.</v>
      </c>
      <c r="C767">
        <v>28361223</v>
      </c>
      <c r="D767">
        <v>65261</v>
      </c>
    </row>
    <row r="768" spans="1:4" x14ac:dyDescent="0.25">
      <c r="A768" t="str">
        <f>T("   843149")</f>
        <v xml:space="preserve">   843149</v>
      </c>
      <c r="B768" t="str">
        <f>T("   Parties de machines et appareils du n° 8426, 8429 ou 8430, n.d.a.")</f>
        <v xml:space="preserve">   Parties de machines et appareils du n° 8426, 8429 ou 8430, n.d.a.</v>
      </c>
      <c r="C768">
        <v>6940470</v>
      </c>
      <c r="D768">
        <v>5000</v>
      </c>
    </row>
    <row r="769" spans="1:4" x14ac:dyDescent="0.25">
      <c r="A769" t="str">
        <f>T("   847030")</f>
        <v xml:space="preserve">   847030</v>
      </c>
      <c r="B769" t="str">
        <f>T("   Machines à calculer autres qu'électroniques")</f>
        <v xml:space="preserve">   Machines à calculer autres qu'électroniques</v>
      </c>
      <c r="C769">
        <v>171206</v>
      </c>
      <c r="D769">
        <v>16</v>
      </c>
    </row>
    <row r="770" spans="1:4" x14ac:dyDescent="0.25">
      <c r="A770" t="str">
        <f>T("   847170")</f>
        <v xml:space="preserve">   847170</v>
      </c>
      <c r="B770" t="str">
        <f>T("   UNITÉS DE MÉMOIRE POUR MACHINES AUTOMATIQUES DE TRAITEMENT DE L'INFORMATION")</f>
        <v xml:space="preserve">   UNITÉS DE MÉMOIRE POUR MACHINES AUTOMATIQUES DE TRAITEMENT DE L'INFORMATION</v>
      </c>
      <c r="C770">
        <v>4257501</v>
      </c>
      <c r="D770">
        <v>394</v>
      </c>
    </row>
    <row r="771" spans="1:4" x14ac:dyDescent="0.25">
      <c r="A771" t="str">
        <f>T("   847890")</f>
        <v xml:space="preserve">   847890</v>
      </c>
      <c r="B771" t="str">
        <f>T("   Parties des machines et appareils pour la préparation ou la transformation du tabac, n.d.a.")</f>
        <v xml:space="preserve">   Parties des machines et appareils pour la préparation ou la transformation du tabac, n.d.a.</v>
      </c>
      <c r="C771">
        <v>2109606718</v>
      </c>
      <c r="D771">
        <v>231768</v>
      </c>
    </row>
    <row r="772" spans="1:4" x14ac:dyDescent="0.25">
      <c r="A772" t="str">
        <f>T("   871640")</f>
        <v xml:space="preserve">   871640</v>
      </c>
      <c r="B772"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772">
        <v>457335</v>
      </c>
      <c r="D772">
        <v>18000</v>
      </c>
    </row>
    <row r="773" spans="1:4" x14ac:dyDescent="0.25">
      <c r="A773" t="str">
        <f>T("   920790")</f>
        <v xml:space="preserve">   920790</v>
      </c>
      <c r="B773" t="str">
        <f>T("   Accordéons électriques et autres instruments de musique électriques")</f>
        <v xml:space="preserve">   Accordéons électriques et autres instruments de musique électriques</v>
      </c>
      <c r="C773">
        <v>6470813</v>
      </c>
      <c r="D773">
        <v>108000</v>
      </c>
    </row>
    <row r="774" spans="1:4" x14ac:dyDescent="0.25">
      <c r="A774" t="str">
        <f>T("   940180")</f>
        <v xml:space="preserve">   940180</v>
      </c>
      <c r="B774" t="str">
        <f>T("   Sièges, n.d.a.")</f>
        <v xml:space="preserve">   Sièges, n.d.a.</v>
      </c>
      <c r="C774">
        <v>918400</v>
      </c>
      <c r="D774">
        <v>5600</v>
      </c>
    </row>
    <row r="775" spans="1:4" x14ac:dyDescent="0.25">
      <c r="A775" t="str">
        <f>T("   950490")</f>
        <v xml:space="preserve">   950490</v>
      </c>
      <c r="B775" t="s">
        <v>108</v>
      </c>
      <c r="C775">
        <v>153495</v>
      </c>
      <c r="D775">
        <v>14</v>
      </c>
    </row>
    <row r="776" spans="1:4" x14ac:dyDescent="0.25">
      <c r="A776" t="str">
        <f>T("NL")</f>
        <v>NL</v>
      </c>
      <c r="B776" t="str">
        <f>T("Pays-bas")</f>
        <v>Pays-bas</v>
      </c>
    </row>
    <row r="777" spans="1:4" x14ac:dyDescent="0.25">
      <c r="A777" t="str">
        <f>T("   ZZ_Total_Produit_SH6")</f>
        <v xml:space="preserve">   ZZ_Total_Produit_SH6</v>
      </c>
      <c r="B777" t="str">
        <f>T("   ZZ_Total_Produit_SH6")</f>
        <v xml:space="preserve">   ZZ_Total_Produit_SH6</v>
      </c>
      <c r="C777">
        <v>1281556930</v>
      </c>
      <c r="D777">
        <v>2238568</v>
      </c>
    </row>
    <row r="778" spans="1:4" x14ac:dyDescent="0.25">
      <c r="A778" t="str">
        <f>T("   080131")</f>
        <v xml:space="preserve">   080131</v>
      </c>
      <c r="B778" t="str">
        <f>T("   Noix de cajou, fraîches ou sèches, en coques")</f>
        <v xml:space="preserve">   Noix de cajou, fraîches ou sèches, en coques</v>
      </c>
      <c r="C778">
        <v>140941837</v>
      </c>
      <c r="D778">
        <v>320000</v>
      </c>
    </row>
    <row r="779" spans="1:4" x14ac:dyDescent="0.25">
      <c r="A779" t="str">
        <f>T("   080132")</f>
        <v xml:space="preserve">   080132</v>
      </c>
      <c r="B779" t="str">
        <f>T("   Noix de cajou, fraîches ou sèches, sans coques")</f>
        <v xml:space="preserve">   Noix de cajou, fraîches ou sèches, sans coques</v>
      </c>
      <c r="C779">
        <v>167847405</v>
      </c>
      <c r="D779">
        <v>69333</v>
      </c>
    </row>
    <row r="780" spans="1:4" x14ac:dyDescent="0.25">
      <c r="A780" t="str">
        <f>T("   151190")</f>
        <v xml:space="preserve">   151190</v>
      </c>
      <c r="B780" t="str">
        <f>T("   Huile de palme et ses fractions, même raffinées, mais non chimiquement modifiées (à l'excl. de l'huile de palme brute)")</f>
        <v xml:space="preserve">   Huile de palme et ses fractions, même raffinées, mais non chimiquement modifiées (à l'excl. de l'huile de palme brute)</v>
      </c>
      <c r="C780">
        <v>169078533</v>
      </c>
      <c r="D780">
        <v>281088</v>
      </c>
    </row>
    <row r="781" spans="1:4" x14ac:dyDescent="0.25">
      <c r="A781" t="str">
        <f>T("   151229")</f>
        <v xml:space="preserve">   151229</v>
      </c>
      <c r="B781"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781">
        <v>12318207</v>
      </c>
      <c r="D781">
        <v>19460</v>
      </c>
    </row>
    <row r="782" spans="1:4" x14ac:dyDescent="0.25">
      <c r="A782" t="str">
        <f>T("   151590")</f>
        <v xml:space="preserve">   151590</v>
      </c>
      <c r="B782" t="s">
        <v>17</v>
      </c>
      <c r="C782">
        <v>329416548</v>
      </c>
      <c r="D782">
        <v>593656</v>
      </c>
    </row>
    <row r="783" spans="1:4" x14ac:dyDescent="0.25">
      <c r="A783" t="str">
        <f>T("   490199")</f>
        <v xml:space="preserve">   490199</v>
      </c>
      <c r="B78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83">
        <v>400000</v>
      </c>
      <c r="D783">
        <v>200</v>
      </c>
    </row>
    <row r="784" spans="1:4" x14ac:dyDescent="0.25">
      <c r="A784" t="str">
        <f>T("   520100")</f>
        <v xml:space="preserve">   520100</v>
      </c>
      <c r="B784" t="str">
        <f>T("   COTON, NON-CARDÉ NI PEIGNÉ")</f>
        <v xml:space="preserve">   COTON, NON-CARDÉ NI PEIGNÉ</v>
      </c>
      <c r="C784">
        <v>3131350</v>
      </c>
      <c r="D784">
        <v>388100</v>
      </c>
    </row>
    <row r="785" spans="1:4" x14ac:dyDescent="0.25">
      <c r="A785" t="str">
        <f>T("   520299")</f>
        <v xml:space="preserve">   520299</v>
      </c>
      <c r="B785" t="str">
        <f>T("   Déchets de coton (à l'excl. des déchets de fils et des effilochés)")</f>
        <v xml:space="preserve">   Déchets de coton (à l'excl. des déchets de fils et des effilochés)</v>
      </c>
      <c r="C785">
        <v>2203550</v>
      </c>
      <c r="D785">
        <v>272960</v>
      </c>
    </row>
    <row r="786" spans="1:4" x14ac:dyDescent="0.25">
      <c r="A786" t="str">
        <f>T("   560811")</f>
        <v xml:space="preserve">   560811</v>
      </c>
      <c r="B786" t="str">
        <f>T("   Filets confectionnés pour la pêche, à mailles nouées, en matières textiles synthétiques ou artificielles (à l'excl. des épuisettes)")</f>
        <v xml:space="preserve">   Filets confectionnés pour la pêche, à mailles nouées, en matières textiles synthétiques ou artificielles (à l'excl. des épuisettes)</v>
      </c>
      <c r="C786">
        <v>507745</v>
      </c>
      <c r="D786">
        <v>5</v>
      </c>
    </row>
    <row r="787" spans="1:4" x14ac:dyDescent="0.25">
      <c r="A787" t="str">
        <f>T("   620590")</f>
        <v xml:space="preserve">   620590</v>
      </c>
      <c r="B78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87">
        <v>1000000</v>
      </c>
      <c r="D787">
        <v>650</v>
      </c>
    </row>
    <row r="788" spans="1:4" x14ac:dyDescent="0.25">
      <c r="A788" t="str">
        <f>T("   650699")</f>
        <v xml:space="preserve">   650699</v>
      </c>
      <c r="B788" t="str">
        <f>T("   Chapeaux et autres coiffures, même garnis, n.d.a.")</f>
        <v xml:space="preserve">   Chapeaux et autres coiffures, même garnis, n.d.a.</v>
      </c>
      <c r="C788">
        <v>223255</v>
      </c>
      <c r="D788">
        <v>54</v>
      </c>
    </row>
    <row r="789" spans="1:4" x14ac:dyDescent="0.25">
      <c r="A789" t="str">
        <f>T("   720449")</f>
        <v xml:space="preserve">   720449</v>
      </c>
      <c r="B789" t="s">
        <v>64</v>
      </c>
      <c r="C789">
        <v>4750000</v>
      </c>
      <c r="D789">
        <v>95000</v>
      </c>
    </row>
    <row r="790" spans="1:4" x14ac:dyDescent="0.25">
      <c r="A790" t="str">
        <f>T("   732394")</f>
        <v xml:space="preserve">   732394</v>
      </c>
      <c r="B790" t="s">
        <v>72</v>
      </c>
      <c r="C790">
        <v>1200000</v>
      </c>
      <c r="D790">
        <v>750</v>
      </c>
    </row>
    <row r="791" spans="1:4" x14ac:dyDescent="0.25">
      <c r="A791" t="str">
        <f>T("   842920")</f>
        <v xml:space="preserve">   842920</v>
      </c>
      <c r="B791" t="str">
        <f>T("   Niveleuses autopropulsées")</f>
        <v xml:space="preserve">   Niveleuses autopropulsées</v>
      </c>
      <c r="C791">
        <v>40000000</v>
      </c>
      <c r="D791">
        <v>35456</v>
      </c>
    </row>
    <row r="792" spans="1:4" x14ac:dyDescent="0.25">
      <c r="A792" t="str">
        <f>T("   842951")</f>
        <v xml:space="preserve">   842951</v>
      </c>
      <c r="B792" t="str">
        <f>T("   Chargeuses et chargeuses-pelleteuses, à chargement frontal, autopropulsées")</f>
        <v xml:space="preserve">   Chargeuses et chargeuses-pelleteuses, à chargement frontal, autopropulsées</v>
      </c>
      <c r="C792">
        <v>15000000</v>
      </c>
      <c r="D792">
        <v>18840</v>
      </c>
    </row>
    <row r="793" spans="1:4" x14ac:dyDescent="0.25">
      <c r="A793" t="str">
        <f>T("   842959")</f>
        <v xml:space="preserve">   842959</v>
      </c>
      <c r="B793"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793">
        <v>134307810</v>
      </c>
      <c r="D793">
        <v>87000</v>
      </c>
    </row>
    <row r="794" spans="1:4" x14ac:dyDescent="0.25">
      <c r="A794" t="str">
        <f>T("   847439")</f>
        <v xml:space="preserve">   847439</v>
      </c>
      <c r="B794" t="str">
        <f>T("   Machines et appareils à mélanger ou à malaxer les matières minérales solides, y.c. -les poudres et les pâtes- (sauf bétonnières et appareils à gâcher le ciment, machines à mélanger les matières minérales au bitume et sauf calandres)")</f>
        <v xml:space="preserve">   Machines et appareils à mélanger ou à malaxer les matières minérales solides, y.c. -les poudres et les pâtes- (sauf bétonnières et appareils à gâcher le ciment, machines à mélanger les matières minérales au bitume et sauf calandres)</v>
      </c>
      <c r="C794">
        <v>9247115</v>
      </c>
      <c r="D794">
        <v>17050</v>
      </c>
    </row>
    <row r="795" spans="1:4" x14ac:dyDescent="0.25">
      <c r="A795" t="str">
        <f>T("   850211")</f>
        <v xml:space="preserve">   850211</v>
      </c>
      <c r="B795" t="s">
        <v>91</v>
      </c>
      <c r="C795">
        <v>51656850</v>
      </c>
      <c r="D795">
        <v>14700</v>
      </c>
    </row>
    <row r="796" spans="1:4" x14ac:dyDescent="0.25">
      <c r="A796" t="str">
        <f>T("   870130")</f>
        <v xml:space="preserve">   870130</v>
      </c>
      <c r="B796" t="str">
        <f>T("   Tracteurs à chenilles (sauf motoculteurs à chenille)")</f>
        <v xml:space="preserve">   Tracteurs à chenilles (sauf motoculteurs à chenille)</v>
      </c>
      <c r="C796">
        <v>102474072</v>
      </c>
      <c r="D796">
        <v>18825</v>
      </c>
    </row>
    <row r="797" spans="1:4" x14ac:dyDescent="0.25">
      <c r="A797" t="str">
        <f>T("   870322")</f>
        <v xml:space="preserve">   870322</v>
      </c>
      <c r="B797" t="s">
        <v>97</v>
      </c>
      <c r="C797">
        <v>900000</v>
      </c>
      <c r="D797">
        <v>1400</v>
      </c>
    </row>
    <row r="798" spans="1:4" x14ac:dyDescent="0.25">
      <c r="A798" t="str">
        <f>T("   890399")</f>
        <v xml:space="preserve">   890399</v>
      </c>
      <c r="B798" t="str">
        <f>T("   Bateaux, de plaisance ou de sport (sauf bateaux à moteur autre qu' à moteur hors-bord, bateaux à voile, même avec moteur auxiliaire, et bateaux gonflables); bateaux à rames et canoës")</f>
        <v xml:space="preserve">   Bateaux, de plaisance ou de sport (sauf bateaux à moteur autre qu' à moteur hors-bord, bateaux à voile, même avec moteur auxiliaire, et bateaux gonflables); bateaux à rames et canoës</v>
      </c>
      <c r="C798">
        <v>1314013</v>
      </c>
      <c r="D798">
        <v>1091</v>
      </c>
    </row>
    <row r="799" spans="1:4" x14ac:dyDescent="0.25">
      <c r="A799" t="str">
        <f>T("   901580")</f>
        <v xml:space="preserve">   901580</v>
      </c>
      <c r="B799" t="s">
        <v>107</v>
      </c>
      <c r="C799">
        <v>92738640</v>
      </c>
      <c r="D799">
        <v>1950</v>
      </c>
    </row>
    <row r="800" spans="1:4" x14ac:dyDescent="0.25">
      <c r="A800" t="str">
        <f>T("   940350")</f>
        <v xml:space="preserve">   940350</v>
      </c>
      <c r="B800" t="str">
        <f>T("   Meubles pour chambres à coucher, en bois (sauf sièges)")</f>
        <v xml:space="preserve">   Meubles pour chambres à coucher, en bois (sauf sièges)</v>
      </c>
      <c r="C800">
        <v>900000</v>
      </c>
      <c r="D800">
        <v>1000</v>
      </c>
    </row>
    <row r="801" spans="1:4" x14ac:dyDescent="0.25">
      <c r="A801" t="str">
        <f>T("PK")</f>
        <v>PK</v>
      </c>
      <c r="B801" t="str">
        <f>T("Pakistan")</f>
        <v>Pakistan</v>
      </c>
    </row>
    <row r="802" spans="1:4" x14ac:dyDescent="0.25">
      <c r="A802" t="str">
        <f>T("   ZZ_Total_Produit_SH6")</f>
        <v xml:space="preserve">   ZZ_Total_Produit_SH6</v>
      </c>
      <c r="B802" t="str">
        <f>T("   ZZ_Total_Produit_SH6")</f>
        <v xml:space="preserve">   ZZ_Total_Produit_SH6</v>
      </c>
      <c r="C802">
        <v>983102487</v>
      </c>
      <c r="D802">
        <v>1391784</v>
      </c>
    </row>
    <row r="803" spans="1:4" x14ac:dyDescent="0.25">
      <c r="A803" t="str">
        <f>T("   410530")</f>
        <v xml:space="preserve">   410530</v>
      </c>
      <c r="B803" t="str">
        <f>T("   PEAUX D'OVINS, À L'ÉTAT SEC [EN CROÛTE], ÉPILÉES, MÊME REFENDUES (SAUF AUTREMENT PRÉPARÉÉS AINSI QUE SIMPL. PRÉTANNÉES)")</f>
        <v xml:space="preserve">   PEAUX D'OVINS, À L'ÉTAT SEC [EN CROÛTE], ÉPILÉES, MÊME REFENDUES (SAUF AUTREMENT PRÉPARÉÉS AINSI QUE SIMPL. PRÉTANNÉES)</v>
      </c>
      <c r="C803">
        <v>14700000</v>
      </c>
      <c r="D803">
        <v>8140</v>
      </c>
    </row>
    <row r="804" spans="1:4" x14ac:dyDescent="0.25">
      <c r="A804" t="str">
        <f>T("   440729")</f>
        <v xml:space="preserve">   440729</v>
      </c>
      <c r="B804" t="s">
        <v>47</v>
      </c>
      <c r="C804">
        <v>974000</v>
      </c>
      <c r="D804">
        <v>39400</v>
      </c>
    </row>
    <row r="805" spans="1:4" x14ac:dyDescent="0.25">
      <c r="A805" t="str">
        <f>T("   520100")</f>
        <v xml:space="preserve">   520100</v>
      </c>
      <c r="B805" t="str">
        <f>T("   COTON, NON-CARDÉ NI PEIGNÉ")</f>
        <v xml:space="preserve">   COTON, NON-CARDÉ NI PEIGNÉ</v>
      </c>
      <c r="C805">
        <v>937212572</v>
      </c>
      <c r="D805">
        <v>1213367</v>
      </c>
    </row>
    <row r="806" spans="1:4" x14ac:dyDescent="0.25">
      <c r="A806" t="str">
        <f>T("   520210")</f>
        <v xml:space="preserve">   520210</v>
      </c>
      <c r="B806" t="str">
        <f>T("   Déchets de fils de coton")</f>
        <v xml:space="preserve">   Déchets de fils de coton</v>
      </c>
      <c r="C806">
        <v>26715915</v>
      </c>
      <c r="D806">
        <v>60877</v>
      </c>
    </row>
    <row r="807" spans="1:4" x14ac:dyDescent="0.25">
      <c r="A807" t="str">
        <f>T("   720449")</f>
        <v xml:space="preserve">   720449</v>
      </c>
      <c r="B807" t="s">
        <v>64</v>
      </c>
      <c r="C807">
        <v>3500000</v>
      </c>
      <c r="D807">
        <v>70000</v>
      </c>
    </row>
    <row r="808" spans="1:4" x14ac:dyDescent="0.25">
      <c r="A808" t="str">
        <f>T("PT")</f>
        <v>PT</v>
      </c>
      <c r="B808" t="str">
        <f>T("Portugal")</f>
        <v>Portugal</v>
      </c>
    </row>
    <row r="809" spans="1:4" x14ac:dyDescent="0.25">
      <c r="A809" t="str">
        <f>T("   ZZ_Total_Produit_SH6")</f>
        <v xml:space="preserve">   ZZ_Total_Produit_SH6</v>
      </c>
      <c r="B809" t="str">
        <f>T("   ZZ_Total_Produit_SH6")</f>
        <v xml:space="preserve">   ZZ_Total_Produit_SH6</v>
      </c>
      <c r="C809">
        <v>1219924279</v>
      </c>
      <c r="D809">
        <v>1604736</v>
      </c>
    </row>
    <row r="810" spans="1:4" x14ac:dyDescent="0.25">
      <c r="A810" t="str">
        <f>T("   520100")</f>
        <v xml:space="preserve">   520100</v>
      </c>
      <c r="B810" t="str">
        <f>T("   COTON, NON-CARDÉ NI PEIGNÉ")</f>
        <v xml:space="preserve">   COTON, NON-CARDÉ NI PEIGNÉ</v>
      </c>
      <c r="C810">
        <v>1216577145</v>
      </c>
      <c r="D810">
        <v>1596371</v>
      </c>
    </row>
    <row r="811" spans="1:4" x14ac:dyDescent="0.25">
      <c r="A811" t="str">
        <f>T("   520291")</f>
        <v xml:space="preserve">   520291</v>
      </c>
      <c r="B811" t="str">
        <f>T("   Effilochés de coton")</f>
        <v xml:space="preserve">   Effilochés de coton</v>
      </c>
      <c r="C811">
        <v>3347134</v>
      </c>
      <c r="D811">
        <v>8365</v>
      </c>
    </row>
    <row r="812" spans="1:4" x14ac:dyDescent="0.25">
      <c r="A812" t="str">
        <f>T("RW")</f>
        <v>RW</v>
      </c>
      <c r="B812" t="str">
        <f>T("Rwanda")</f>
        <v>Rwanda</v>
      </c>
    </row>
    <row r="813" spans="1:4" x14ac:dyDescent="0.25">
      <c r="A813" t="str">
        <f>T("   ZZ_Total_Produit_SH6")</f>
        <v xml:space="preserve">   ZZ_Total_Produit_SH6</v>
      </c>
      <c r="B813" t="str">
        <f>T("   ZZ_Total_Produit_SH6")</f>
        <v xml:space="preserve">   ZZ_Total_Produit_SH6</v>
      </c>
      <c r="C813">
        <v>3000000</v>
      </c>
      <c r="D813">
        <v>5000</v>
      </c>
    </row>
    <row r="814" spans="1:4" x14ac:dyDescent="0.25">
      <c r="A814" t="str">
        <f>T("   620590")</f>
        <v xml:space="preserve">   620590</v>
      </c>
      <c r="B81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14">
        <v>800000</v>
      </c>
      <c r="D814">
        <v>1400</v>
      </c>
    </row>
    <row r="815" spans="1:4" x14ac:dyDescent="0.25">
      <c r="A815" t="str">
        <f>T("   732394")</f>
        <v xml:space="preserve">   732394</v>
      </c>
      <c r="B815" t="s">
        <v>72</v>
      </c>
      <c r="C815">
        <v>500000</v>
      </c>
      <c r="D815">
        <v>700</v>
      </c>
    </row>
    <row r="816" spans="1:4" x14ac:dyDescent="0.25">
      <c r="A816" t="str">
        <f>T("   940350")</f>
        <v xml:space="preserve">   940350</v>
      </c>
      <c r="B816" t="str">
        <f>T("   Meubles pour chambres à coucher, en bois (sauf sièges)")</f>
        <v xml:space="preserve">   Meubles pour chambres à coucher, en bois (sauf sièges)</v>
      </c>
      <c r="C816">
        <v>1500000</v>
      </c>
      <c r="D816">
        <v>2800</v>
      </c>
    </row>
    <row r="817" spans="1:4" x14ac:dyDescent="0.25">
      <c r="A817" t="str">
        <f>T("   950299")</f>
        <v xml:space="preserve">   950299</v>
      </c>
      <c r="B817" t="str">
        <f>T("   Parties et accessoires pour poupées représentant uniquement l'être humain, n.d.a.")</f>
        <v xml:space="preserve">   Parties et accessoires pour poupées représentant uniquement l'être humain, n.d.a.</v>
      </c>
      <c r="C817">
        <v>200000</v>
      </c>
      <c r="D817">
        <v>100</v>
      </c>
    </row>
    <row r="818" spans="1:4" x14ac:dyDescent="0.25">
      <c r="A818" t="str">
        <f>T("SG")</f>
        <v>SG</v>
      </c>
      <c r="B818" t="str">
        <f>T("Singapour")</f>
        <v>Singapour</v>
      </c>
    </row>
    <row r="819" spans="1:4" x14ac:dyDescent="0.25">
      <c r="A819" t="str">
        <f>T("   ZZ_Total_Produit_SH6")</f>
        <v xml:space="preserve">   ZZ_Total_Produit_SH6</v>
      </c>
      <c r="B819" t="str">
        <f>T("   ZZ_Total_Produit_SH6")</f>
        <v xml:space="preserve">   ZZ_Total_Produit_SH6</v>
      </c>
      <c r="C819">
        <v>951378255</v>
      </c>
      <c r="D819">
        <v>1818204</v>
      </c>
    </row>
    <row r="820" spans="1:4" x14ac:dyDescent="0.25">
      <c r="A820" t="str">
        <f>T("   080131")</f>
        <v xml:space="preserve">   080131</v>
      </c>
      <c r="B820" t="str">
        <f>T("   Noix de cajou, fraîches ou sèches, en coques")</f>
        <v xml:space="preserve">   Noix de cajou, fraîches ou sèches, en coques</v>
      </c>
      <c r="C820">
        <v>951378255</v>
      </c>
      <c r="D820">
        <v>1818204</v>
      </c>
    </row>
    <row r="821" spans="1:4" x14ac:dyDescent="0.25">
      <c r="A821" t="str">
        <f>T("SL")</f>
        <v>SL</v>
      </c>
      <c r="B821" t="str">
        <f>T("Sierra Leone")</f>
        <v>Sierra Leone</v>
      </c>
    </row>
    <row r="822" spans="1:4" x14ac:dyDescent="0.25">
      <c r="A822" t="str">
        <f>T("   ZZ_Total_Produit_SH6")</f>
        <v xml:space="preserve">   ZZ_Total_Produit_SH6</v>
      </c>
      <c r="B822" t="str">
        <f>T("   ZZ_Total_Produit_SH6")</f>
        <v xml:space="preserve">   ZZ_Total_Produit_SH6</v>
      </c>
      <c r="C822">
        <v>45261033</v>
      </c>
      <c r="D822">
        <v>392</v>
      </c>
    </row>
    <row r="823" spans="1:4" x14ac:dyDescent="0.25">
      <c r="A823" t="str">
        <f>T("   120710")</f>
        <v xml:space="preserve">   120710</v>
      </c>
      <c r="B823" t="str">
        <f>T("   NOIX ET AMANDES DE PALMISTES")</f>
        <v xml:space="preserve">   NOIX ET AMANDES DE PALMISTES</v>
      </c>
      <c r="C823">
        <v>45261033</v>
      </c>
      <c r="D823">
        <v>392</v>
      </c>
    </row>
    <row r="824" spans="1:4" x14ac:dyDescent="0.25">
      <c r="A824" t="str">
        <f>T("SN")</f>
        <v>SN</v>
      </c>
      <c r="B824" t="str">
        <f>T("Sénégal")</f>
        <v>Sénégal</v>
      </c>
    </row>
    <row r="825" spans="1:4" x14ac:dyDescent="0.25">
      <c r="A825" t="str">
        <f>T("   ZZ_Total_Produit_SH6")</f>
        <v xml:space="preserve">   ZZ_Total_Produit_SH6</v>
      </c>
      <c r="B825" t="str">
        <f>T("   ZZ_Total_Produit_SH6")</f>
        <v xml:space="preserve">   ZZ_Total_Produit_SH6</v>
      </c>
      <c r="C825">
        <v>73559000</v>
      </c>
      <c r="D825">
        <v>100438.3</v>
      </c>
    </row>
    <row r="826" spans="1:4" x14ac:dyDescent="0.25">
      <c r="A826" t="str">
        <f>T("   080290")</f>
        <v xml:space="preserve">   080290</v>
      </c>
      <c r="B826"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826">
        <v>1224000</v>
      </c>
      <c r="D826">
        <v>4080</v>
      </c>
    </row>
    <row r="827" spans="1:4" x14ac:dyDescent="0.25">
      <c r="A827" t="str">
        <f>T("   090420")</f>
        <v xml:space="preserve">   090420</v>
      </c>
      <c r="B827" t="str">
        <f>T("   Piments du genre 'Capsicum' ou du genre 'Pimenta', séchés ou broyés ou pulvérisés")</f>
        <v xml:space="preserve">   Piments du genre 'Capsicum' ou du genre 'Pimenta', séchés ou broyés ou pulvérisés</v>
      </c>
      <c r="C827">
        <v>6021980</v>
      </c>
      <c r="D827">
        <v>12458</v>
      </c>
    </row>
    <row r="828" spans="1:4" x14ac:dyDescent="0.25">
      <c r="A828" t="str">
        <f>T("   110620")</f>
        <v xml:space="preserve">   110620</v>
      </c>
      <c r="B828" t="str">
        <f>T("   Farines, semoules et poudres de sagou ou des racines ou tubercules du n° 0714")</f>
        <v xml:space="preserve">   Farines, semoules et poudres de sagou ou des racines ou tubercules du n° 0714</v>
      </c>
      <c r="C828">
        <v>3900000</v>
      </c>
      <c r="D828">
        <v>13000</v>
      </c>
    </row>
    <row r="829" spans="1:4" x14ac:dyDescent="0.25">
      <c r="A829" t="str">
        <f>T("   151110")</f>
        <v xml:space="preserve">   151110</v>
      </c>
      <c r="B829" t="str">
        <f>T("   Huile de palme, brute")</f>
        <v xml:space="preserve">   Huile de palme, brute</v>
      </c>
      <c r="C829">
        <v>120000</v>
      </c>
      <c r="D829">
        <v>400</v>
      </c>
    </row>
    <row r="830" spans="1:4" x14ac:dyDescent="0.25">
      <c r="A830" t="str">
        <f>T("   200939")</f>
        <v xml:space="preserve">   200939</v>
      </c>
      <c r="B830" t="str">
        <f>T("   JUS D'AGRUMES, NON-FERMENTÉS, SANS ADDITION D'ALCOOL, AVEC OU SANS ADDITION DE SUCRE OU D'AUTRES ÉDULCORANTS, D'UNE VALEUR BRIX &gt; 20 À 20°C (À L'EXCL. DES MÉLANGES AINSI QUE DES JUS D'ORANGE, DE PAMPLEMOUSSE OU DE POMELO)")</f>
        <v xml:space="preserve">   JUS D'AGRUMES, NON-FERMENTÉS, SANS ADDITION D'ALCOOL, AVEC OU SANS ADDITION DE SUCRE OU D'AUTRES ÉDULCORANTS, D'UNE VALEUR BRIX &gt; 20 À 20°C (À L'EXCL. DES MÉLANGES AINSI QUE DES JUS D'ORANGE, DE PAMPLEMOUSSE OU DE POMELO)</v>
      </c>
      <c r="C830">
        <v>1492800</v>
      </c>
      <c r="D830">
        <v>13330</v>
      </c>
    </row>
    <row r="831" spans="1:4" x14ac:dyDescent="0.25">
      <c r="A831" t="str">
        <f>T("   210690")</f>
        <v xml:space="preserve">   210690</v>
      </c>
      <c r="B831" t="str">
        <f>T("   Préparations alimentaires, n.d.a.")</f>
        <v xml:space="preserve">   Préparations alimentaires, n.d.a.</v>
      </c>
      <c r="C831">
        <v>48800000</v>
      </c>
      <c r="D831">
        <v>16000</v>
      </c>
    </row>
    <row r="832" spans="1:4" x14ac:dyDescent="0.25">
      <c r="A832" t="str">
        <f>T("   620590")</f>
        <v xml:space="preserve">   620590</v>
      </c>
      <c r="B83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32">
        <v>1600000</v>
      </c>
      <c r="D832">
        <v>1100</v>
      </c>
    </row>
    <row r="833" spans="1:4" x14ac:dyDescent="0.25">
      <c r="A833" t="str">
        <f>T("   732394")</f>
        <v xml:space="preserve">   732394</v>
      </c>
      <c r="B833" t="s">
        <v>72</v>
      </c>
      <c r="C833">
        <v>900000</v>
      </c>
      <c r="D833">
        <v>700</v>
      </c>
    </row>
    <row r="834" spans="1:4" x14ac:dyDescent="0.25">
      <c r="A834" t="str">
        <f>T("   732399")</f>
        <v xml:space="preserve">   732399</v>
      </c>
      <c r="B834" t="s">
        <v>73</v>
      </c>
      <c r="C834">
        <v>100000</v>
      </c>
      <c r="D834">
        <v>10000</v>
      </c>
    </row>
    <row r="835" spans="1:4" x14ac:dyDescent="0.25">
      <c r="A835" t="str">
        <f>T("   841829")</f>
        <v xml:space="preserve">   841829</v>
      </c>
      <c r="B835" t="str">
        <f>T("   Réfrigérateurs ménagers à absorption, non-électriques")</f>
        <v xml:space="preserve">   Réfrigérateurs ménagers à absorption, non-électriques</v>
      </c>
      <c r="C835">
        <v>3025000</v>
      </c>
      <c r="D835">
        <v>6000</v>
      </c>
    </row>
    <row r="836" spans="1:4" x14ac:dyDescent="0.25">
      <c r="A836" t="str">
        <f>T("   843810")</f>
        <v xml:space="preserve">   843810</v>
      </c>
      <c r="B836" t="s">
        <v>84</v>
      </c>
      <c r="C836">
        <v>3350000</v>
      </c>
      <c r="D836">
        <v>17000</v>
      </c>
    </row>
    <row r="837" spans="1:4" x14ac:dyDescent="0.25">
      <c r="A837" t="str">
        <f>T("   848590")</f>
        <v xml:space="preserve">   848590</v>
      </c>
      <c r="B837" t="str">
        <f>T("   Parties de machines et appareils du chapitre 84, sans caractéristiques spéciales d'utilisation, n.d.a.")</f>
        <v xml:space="preserve">   Parties de machines et appareils du chapitre 84, sans caractéristiques spéciales d'utilisation, n.d.a.</v>
      </c>
      <c r="C837">
        <v>575220</v>
      </c>
      <c r="D837">
        <v>2490.3000000000002</v>
      </c>
    </row>
    <row r="838" spans="1:4" x14ac:dyDescent="0.25">
      <c r="A838" t="str">
        <f>T("   850211")</f>
        <v xml:space="preserve">   850211</v>
      </c>
      <c r="B838" t="s">
        <v>91</v>
      </c>
      <c r="C838">
        <v>700000</v>
      </c>
      <c r="D838">
        <v>2000</v>
      </c>
    </row>
    <row r="839" spans="1:4" x14ac:dyDescent="0.25">
      <c r="A839" t="str">
        <f>T("   940340")</f>
        <v xml:space="preserve">   940340</v>
      </c>
      <c r="B839" t="str">
        <f>T("   Meubles de cuisine, en bois (sauf sièges)")</f>
        <v xml:space="preserve">   Meubles de cuisine, en bois (sauf sièges)</v>
      </c>
      <c r="C839">
        <v>250000</v>
      </c>
      <c r="D839">
        <v>1000</v>
      </c>
    </row>
    <row r="840" spans="1:4" x14ac:dyDescent="0.25">
      <c r="A840" t="str">
        <f>T("   940350")</f>
        <v xml:space="preserve">   940350</v>
      </c>
      <c r="B840" t="str">
        <f>T("   Meubles pour chambres à coucher, en bois (sauf sièges)")</f>
        <v xml:space="preserve">   Meubles pour chambres à coucher, en bois (sauf sièges)</v>
      </c>
      <c r="C840">
        <v>1500000</v>
      </c>
      <c r="D840">
        <v>880</v>
      </c>
    </row>
    <row r="841" spans="1:4" x14ac:dyDescent="0.25">
      <c r="A841" t="str">
        <f>T("SY")</f>
        <v>SY</v>
      </c>
      <c r="B841" t="str">
        <f>T("Syrienne, République arabe")</f>
        <v>Syrienne, République arabe</v>
      </c>
    </row>
    <row r="842" spans="1:4" x14ac:dyDescent="0.25">
      <c r="A842" t="str">
        <f>T("   ZZ_Total_Produit_SH6")</f>
        <v xml:space="preserve">   ZZ_Total_Produit_SH6</v>
      </c>
      <c r="B842" t="str">
        <f>T("   ZZ_Total_Produit_SH6")</f>
        <v xml:space="preserve">   ZZ_Total_Produit_SH6</v>
      </c>
      <c r="C842">
        <v>2510000</v>
      </c>
      <c r="D842">
        <v>48000</v>
      </c>
    </row>
    <row r="843" spans="1:4" x14ac:dyDescent="0.25">
      <c r="A843" t="str">
        <f>T("   720449")</f>
        <v xml:space="preserve">   720449</v>
      </c>
      <c r="B843" t="s">
        <v>64</v>
      </c>
      <c r="C843">
        <v>2510000</v>
      </c>
      <c r="D843">
        <v>48000</v>
      </c>
    </row>
    <row r="844" spans="1:4" x14ac:dyDescent="0.25">
      <c r="A844" t="str">
        <f>T("TD")</f>
        <v>TD</v>
      </c>
      <c r="B844" t="str">
        <f>T("Tchad")</f>
        <v>Tchad</v>
      </c>
    </row>
    <row r="845" spans="1:4" x14ac:dyDescent="0.25">
      <c r="A845" t="str">
        <f>T("   ZZ_Total_Produit_SH6")</f>
        <v xml:space="preserve">   ZZ_Total_Produit_SH6</v>
      </c>
      <c r="B845" t="str">
        <f>T("   ZZ_Total_Produit_SH6")</f>
        <v xml:space="preserve">   ZZ_Total_Produit_SH6</v>
      </c>
      <c r="C845">
        <v>17597802826</v>
      </c>
      <c r="D845">
        <v>43009849</v>
      </c>
    </row>
    <row r="846" spans="1:4" x14ac:dyDescent="0.25">
      <c r="A846" t="str">
        <f>T("   320890")</f>
        <v xml:space="preserve">   320890</v>
      </c>
      <c r="B846" t="s">
        <v>32</v>
      </c>
      <c r="C846">
        <v>26619753</v>
      </c>
      <c r="D846">
        <v>9921</v>
      </c>
    </row>
    <row r="847" spans="1:4" x14ac:dyDescent="0.25">
      <c r="A847" t="str">
        <f>T("   391721")</f>
        <v xml:space="preserve">   391721</v>
      </c>
      <c r="B847" t="str">
        <f>T("   TUBES ET TUYAUX RIGIDES, EN POLYMÈRES DE L'ÉTHYLÈNE")</f>
        <v xml:space="preserve">   TUBES ET TUYAUX RIGIDES, EN POLYMÈRES DE L'ÉTHYLÈNE</v>
      </c>
      <c r="C847">
        <v>42560000</v>
      </c>
      <c r="D847">
        <v>36000</v>
      </c>
    </row>
    <row r="848" spans="1:4" x14ac:dyDescent="0.25">
      <c r="A848" t="str">
        <f>T("   620590")</f>
        <v xml:space="preserve">   620590</v>
      </c>
      <c r="B848"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48">
        <v>500000</v>
      </c>
      <c r="D848">
        <v>1700</v>
      </c>
    </row>
    <row r="849" spans="1:4" x14ac:dyDescent="0.25">
      <c r="A849" t="str">
        <f>T("   720839")</f>
        <v xml:space="preserve">   720839</v>
      </c>
      <c r="B849"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849">
        <v>269460000</v>
      </c>
      <c r="D849">
        <v>468000</v>
      </c>
    </row>
    <row r="850" spans="1:4" x14ac:dyDescent="0.25">
      <c r="A850" t="str">
        <f>T("   720916")</f>
        <v xml:space="preserve">   720916</v>
      </c>
      <c r="B850" t="str">
        <f>T("   PRODUITS LAMINÉS PLATS, EN FER OU EN ACIERS NON-ALLIÉS, D'UNE LARGEUR &gt;= 600 MM, NON-PLAQUÉS NI REVÊTUS, ENROULÉS, SIMPL. LAMINÉS À FROID, D'UNE ÉPAISSEUR &gt; 1 MM MAIS &lt; 3 MM")</f>
        <v xml:space="preserve">   PRODUITS LAMINÉS PLATS, EN FER OU EN ACIERS NON-ALLIÉS, D'UNE LARGEUR &gt;= 600 MM, NON-PLAQUÉS NI REVÊTUS, ENROULÉS, SIMPL. LAMINÉS À FROID, D'UNE ÉPAISSEUR &gt; 1 MM MAIS &lt; 3 MM</v>
      </c>
      <c r="C850">
        <v>105526720</v>
      </c>
      <c r="D850">
        <v>197012</v>
      </c>
    </row>
    <row r="851" spans="1:4" x14ac:dyDescent="0.25">
      <c r="A851" t="str">
        <f>T("   720917")</f>
        <v xml:space="preserve">   720917</v>
      </c>
      <c r="B851"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851">
        <v>89473280</v>
      </c>
      <c r="D851">
        <v>142988</v>
      </c>
    </row>
    <row r="852" spans="1:4" x14ac:dyDescent="0.25">
      <c r="A852" t="str">
        <f>T("   720990")</f>
        <v xml:space="preserve">   720990</v>
      </c>
      <c r="B852"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852">
        <v>125400000</v>
      </c>
      <c r="D852">
        <v>228000</v>
      </c>
    </row>
    <row r="853" spans="1:4" x14ac:dyDescent="0.25">
      <c r="A853" t="str">
        <f>T("   721041")</f>
        <v xml:space="preserve">   721041</v>
      </c>
      <c r="B853"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853">
        <v>2811800</v>
      </c>
      <c r="D853">
        <v>4135</v>
      </c>
    </row>
    <row r="854" spans="1:4" x14ac:dyDescent="0.25">
      <c r="A854" t="str">
        <f>T("   721049")</f>
        <v xml:space="preserve">   721049</v>
      </c>
      <c r="B854"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54">
        <v>22627230</v>
      </c>
      <c r="D854">
        <v>37000</v>
      </c>
    </row>
    <row r="855" spans="1:4" x14ac:dyDescent="0.25">
      <c r="A855" t="str">
        <f>T("   721391")</f>
        <v xml:space="preserve">   721391</v>
      </c>
      <c r="B855"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55">
        <v>6545892418</v>
      </c>
      <c r="D855">
        <v>18103250</v>
      </c>
    </row>
    <row r="856" spans="1:4" x14ac:dyDescent="0.25">
      <c r="A856" t="str">
        <f>T("   721399")</f>
        <v xml:space="preserve">   721399</v>
      </c>
      <c r="B856" t="s">
        <v>65</v>
      </c>
      <c r="C856">
        <v>1475159848</v>
      </c>
      <c r="D856">
        <v>3622000</v>
      </c>
    </row>
    <row r="857" spans="1:4" x14ac:dyDescent="0.25">
      <c r="A857" t="str">
        <f>T("   721590")</f>
        <v xml:space="preserve">   721590</v>
      </c>
      <c r="B857"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57">
        <v>8040822500</v>
      </c>
      <c r="D857">
        <v>18366000</v>
      </c>
    </row>
    <row r="858" spans="1:4" x14ac:dyDescent="0.25">
      <c r="A858" t="str">
        <f>T("   721720")</f>
        <v xml:space="preserve">   721720</v>
      </c>
      <c r="B858" t="str">
        <f>T("   FILS EN FER OU EN ACIERS NON-ALLIÉS, ENROULÉS, ZINGUÉS (À L'EXCL. DU FIL MACHINE)")</f>
        <v xml:space="preserve">   FILS EN FER OU EN ACIERS NON-ALLIÉS, ENROULÉS, ZINGUÉS (À L'EXCL. DU FIL MACHINE)</v>
      </c>
      <c r="C858">
        <v>374288209</v>
      </c>
      <c r="D858">
        <v>919000</v>
      </c>
    </row>
    <row r="859" spans="1:4" x14ac:dyDescent="0.25">
      <c r="A859" t="str">
        <f>T("   721790")</f>
        <v xml:space="preserve">   721790</v>
      </c>
      <c r="B859"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59">
        <v>23790000</v>
      </c>
      <c r="D859">
        <v>43000</v>
      </c>
    </row>
    <row r="860" spans="1:4" x14ac:dyDescent="0.25">
      <c r="A860" t="str">
        <f>T("   731700")</f>
        <v xml:space="preserve">   731700</v>
      </c>
      <c r="B860"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60">
        <v>447330000</v>
      </c>
      <c r="D860">
        <v>824000</v>
      </c>
    </row>
    <row r="861" spans="1:4" x14ac:dyDescent="0.25">
      <c r="A861" t="str">
        <f>T("   732394")</f>
        <v xml:space="preserve">   732394</v>
      </c>
      <c r="B861" t="s">
        <v>72</v>
      </c>
      <c r="C861">
        <v>700000</v>
      </c>
      <c r="D861">
        <v>2200</v>
      </c>
    </row>
    <row r="862" spans="1:4" x14ac:dyDescent="0.25">
      <c r="A862" t="str">
        <f>T("   870323")</f>
        <v xml:space="preserve">   870323</v>
      </c>
      <c r="B862" t="s">
        <v>98</v>
      </c>
      <c r="C862">
        <v>3041068</v>
      </c>
      <c r="D862">
        <v>1843</v>
      </c>
    </row>
    <row r="863" spans="1:4" x14ac:dyDescent="0.25">
      <c r="A863" t="str">
        <f>T("   940350")</f>
        <v xml:space="preserve">   940350</v>
      </c>
      <c r="B863" t="str">
        <f>T("   Meubles pour chambres à coucher, en bois (sauf sièges)")</f>
        <v xml:space="preserve">   Meubles pour chambres à coucher, en bois (sauf sièges)</v>
      </c>
      <c r="C863">
        <v>1800000</v>
      </c>
      <c r="D863">
        <v>3800</v>
      </c>
    </row>
    <row r="864" spans="1:4" x14ac:dyDescent="0.25">
      <c r="A864" t="str">
        <f>T("TG")</f>
        <v>TG</v>
      </c>
      <c r="B864" t="str">
        <f>T("Togo")</f>
        <v>Togo</v>
      </c>
    </row>
    <row r="865" spans="1:4" x14ac:dyDescent="0.25">
      <c r="A865" t="str">
        <f>T("   ZZ_Total_Produit_SH6")</f>
        <v xml:space="preserve">   ZZ_Total_Produit_SH6</v>
      </c>
      <c r="B865" t="str">
        <f>T("   ZZ_Total_Produit_SH6")</f>
        <v xml:space="preserve">   ZZ_Total_Produit_SH6</v>
      </c>
      <c r="C865">
        <v>2282802135</v>
      </c>
      <c r="D865">
        <v>35648493.82</v>
      </c>
    </row>
    <row r="866" spans="1:4" x14ac:dyDescent="0.25">
      <c r="A866" t="str">
        <f>T("   030379")</f>
        <v xml:space="preserve">   030379</v>
      </c>
      <c r="B866" t="s">
        <v>13</v>
      </c>
      <c r="C866">
        <v>408576000</v>
      </c>
      <c r="D866">
        <v>773601</v>
      </c>
    </row>
    <row r="867" spans="1:4" x14ac:dyDescent="0.25">
      <c r="A867" t="str">
        <f>T("   120799")</f>
        <v xml:space="preserve">   120799</v>
      </c>
      <c r="B867" t="s">
        <v>16</v>
      </c>
      <c r="C867">
        <v>3000000</v>
      </c>
      <c r="D867">
        <v>60000</v>
      </c>
    </row>
    <row r="868" spans="1:4" x14ac:dyDescent="0.25">
      <c r="A868" t="str">
        <f>T("   130213")</f>
        <v xml:space="preserve">   130213</v>
      </c>
      <c r="B868" t="str">
        <f>T("   Extraits de houblon")</f>
        <v xml:space="preserve">   Extraits de houblon</v>
      </c>
      <c r="C868">
        <v>13457187</v>
      </c>
      <c r="D868">
        <v>795</v>
      </c>
    </row>
    <row r="869" spans="1:4" x14ac:dyDescent="0.25">
      <c r="A869" t="str">
        <f>T("   190110")</f>
        <v xml:space="preserve">   190110</v>
      </c>
      <c r="B869" t="s">
        <v>19</v>
      </c>
      <c r="C869">
        <v>840000</v>
      </c>
      <c r="D869">
        <v>700</v>
      </c>
    </row>
    <row r="870" spans="1:4" x14ac:dyDescent="0.25">
      <c r="A870" t="str">
        <f>T("   190230")</f>
        <v xml:space="preserve">   190230</v>
      </c>
      <c r="B870" t="str">
        <f>T("   Pâtes alimentaires, cuites ou autrement préparées (à l'excl. des pâtes alimentaires farcies)")</f>
        <v xml:space="preserve">   Pâtes alimentaires, cuites ou autrement préparées (à l'excl. des pâtes alimentaires farcies)</v>
      </c>
      <c r="C870">
        <v>72000000</v>
      </c>
      <c r="D870">
        <v>180000</v>
      </c>
    </row>
    <row r="871" spans="1:4" x14ac:dyDescent="0.25">
      <c r="A871" t="str">
        <f>T("   190590")</f>
        <v xml:space="preserve">   190590</v>
      </c>
      <c r="B871" t="s">
        <v>20</v>
      </c>
      <c r="C871">
        <v>6160000</v>
      </c>
      <c r="D871">
        <v>4145</v>
      </c>
    </row>
    <row r="872" spans="1:4" x14ac:dyDescent="0.25">
      <c r="A872" t="str">
        <f>T("   210690")</f>
        <v xml:space="preserve">   210690</v>
      </c>
      <c r="B872" t="str">
        <f>T("   Préparations alimentaires, n.d.a.")</f>
        <v xml:space="preserve">   Préparations alimentaires, n.d.a.</v>
      </c>
      <c r="C872">
        <v>5090022</v>
      </c>
      <c r="D872">
        <v>312</v>
      </c>
    </row>
    <row r="873" spans="1:4" x14ac:dyDescent="0.25">
      <c r="A873" t="str">
        <f>T("   220110")</f>
        <v xml:space="preserve">   220110</v>
      </c>
      <c r="B873" t="str">
        <f>T("   Eaux minérales et eaux gazéifiées, non additionnées de sucre ou d'autres édulcorants ni aromatisées")</f>
        <v xml:space="preserve">   Eaux minérales et eaux gazéifiées, non additionnées de sucre ou d'autres édulcorants ni aromatisées</v>
      </c>
      <c r="C873">
        <v>47646717</v>
      </c>
      <c r="D873">
        <v>241574</v>
      </c>
    </row>
    <row r="874" spans="1:4" x14ac:dyDescent="0.25">
      <c r="A874" t="str">
        <f>T("   220190")</f>
        <v xml:space="preserve">   220190</v>
      </c>
      <c r="B874" t="str">
        <f>T("   Eaux, non additionnées de sucre ou d'autres édulcorants ni aromatisées (à l'excl. des eaux minérales, des eaux gazéifiées, de l'eau de mer ainsi que des eaux distillées, de conductibilité ou de même degré de pureté); glace et neige")</f>
        <v xml:space="preserve">   Eaux, non additionnées de sucre ou d'autres édulcorants ni aromatisées (à l'excl. des eaux minérales, des eaux gazéifiées, de l'eau de mer ainsi que des eaux distillées, de conductibilité ou de même degré de pureté); glace et neige</v>
      </c>
      <c r="C874">
        <v>3187000</v>
      </c>
      <c r="D874">
        <v>22000</v>
      </c>
    </row>
    <row r="875" spans="1:4" x14ac:dyDescent="0.25">
      <c r="A875" t="str">
        <f>T("   220210")</f>
        <v xml:space="preserve">   220210</v>
      </c>
      <c r="B875"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75">
        <v>31089808</v>
      </c>
      <c r="D875">
        <v>78795</v>
      </c>
    </row>
    <row r="876" spans="1:4" x14ac:dyDescent="0.25">
      <c r="A876" t="str">
        <f>T("   230400")</f>
        <v xml:space="preserve">   230400</v>
      </c>
      <c r="B876"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876">
        <v>36600000</v>
      </c>
      <c r="D876">
        <v>120000</v>
      </c>
    </row>
    <row r="877" spans="1:4" x14ac:dyDescent="0.25">
      <c r="A877" t="str">
        <f>T("   230610")</f>
        <v xml:space="preserve">   230610</v>
      </c>
      <c r="B877"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877">
        <v>89204145</v>
      </c>
      <c r="D877">
        <v>579940</v>
      </c>
    </row>
    <row r="878" spans="1:4" x14ac:dyDescent="0.25">
      <c r="A878" t="str">
        <f>T("   251200")</f>
        <v xml:space="preserve">   251200</v>
      </c>
      <c r="B878" t="str">
        <f>T("   Farines siliceuses fossiles [kieselguhr, tripolite, diatomite, par exemple] et autres terres siliceuses analogues, d'une densité apparente &lt;= 1, même calcinées")</f>
        <v xml:space="preserve">   Farines siliceuses fossiles [kieselguhr, tripolite, diatomite, par exemple] et autres terres siliceuses analogues, d'une densité apparente &lt;= 1, même calcinées</v>
      </c>
      <c r="C878">
        <v>80428</v>
      </c>
      <c r="D878">
        <v>100</v>
      </c>
    </row>
    <row r="879" spans="1:4" x14ac:dyDescent="0.25">
      <c r="A879" t="str">
        <f>T("   251520")</f>
        <v xml:space="preserve">   251520</v>
      </c>
      <c r="B879" t="s">
        <v>25</v>
      </c>
      <c r="C879">
        <v>166850843</v>
      </c>
      <c r="D879">
        <v>10887518</v>
      </c>
    </row>
    <row r="880" spans="1:4" x14ac:dyDescent="0.25">
      <c r="A880" t="str">
        <f>T("   251710")</f>
        <v xml:space="preserve">   251710</v>
      </c>
      <c r="B880" t="str">
        <f>T("   Cailloux, graviers, pierres concassées, des types généralement utilisés pour le bétonnage ou pour l'empierrement des routes, des voies ferrées ou autres ballasts, galets et silex, même traités thermiquement")</f>
        <v xml:space="preserve">   Cailloux, graviers, pierres concassées, des types généralement utilisés pour le bétonnage ou pour l'empierrement des routes, des voies ferrées ou autres ballasts, galets et silex, même traités thermiquement</v>
      </c>
      <c r="C880">
        <v>300000</v>
      </c>
      <c r="D880">
        <v>12500</v>
      </c>
    </row>
    <row r="881" spans="1:4" x14ac:dyDescent="0.25">
      <c r="A881" t="str">
        <f>T("   271019")</f>
        <v xml:space="preserve">   271019</v>
      </c>
      <c r="B881" t="str">
        <f>T("   Huiles moyennes et préparations, de pétrole ou de minéraux bitumineux, n.d.a.")</f>
        <v xml:space="preserve">   Huiles moyennes et préparations, de pétrole ou de minéraux bitumineux, n.d.a.</v>
      </c>
      <c r="C881">
        <v>1906996</v>
      </c>
      <c r="D881">
        <v>796</v>
      </c>
    </row>
    <row r="882" spans="1:4" x14ac:dyDescent="0.25">
      <c r="A882" t="str">
        <f>T("   271320")</f>
        <v xml:space="preserve">   271320</v>
      </c>
      <c r="B882" t="str">
        <f>T("   Bitume de pétrole")</f>
        <v xml:space="preserve">   Bitume de pétrole</v>
      </c>
      <c r="C882">
        <v>8520000</v>
      </c>
      <c r="D882">
        <v>20000</v>
      </c>
    </row>
    <row r="883" spans="1:4" x14ac:dyDescent="0.25">
      <c r="A883" t="str">
        <f>T("   281122")</f>
        <v xml:space="preserve">   281122</v>
      </c>
      <c r="B883" t="str">
        <f>T("   Dioxyde de silicium")</f>
        <v xml:space="preserve">   Dioxyde de silicium</v>
      </c>
      <c r="C883">
        <v>9000000</v>
      </c>
      <c r="D883">
        <v>6000</v>
      </c>
    </row>
    <row r="884" spans="1:4" x14ac:dyDescent="0.25">
      <c r="A884" t="str">
        <f>T("   300490")</f>
        <v xml:space="preserve">   300490</v>
      </c>
      <c r="B884" t="s">
        <v>29</v>
      </c>
      <c r="C884">
        <v>31930909</v>
      </c>
      <c r="D884">
        <v>3706</v>
      </c>
    </row>
    <row r="885" spans="1:4" x14ac:dyDescent="0.25">
      <c r="A885" t="str">
        <f>T("   300590")</f>
        <v xml:space="preserve">   300590</v>
      </c>
      <c r="B885" t="s">
        <v>30</v>
      </c>
      <c r="C885">
        <v>2851500</v>
      </c>
      <c r="D885">
        <v>1711</v>
      </c>
    </row>
    <row r="886" spans="1:4" x14ac:dyDescent="0.25">
      <c r="A886" t="str">
        <f>T("   320820")</f>
        <v xml:space="preserve">   320820</v>
      </c>
      <c r="B886" t="s">
        <v>31</v>
      </c>
      <c r="C886">
        <v>3232170</v>
      </c>
      <c r="D886">
        <v>400</v>
      </c>
    </row>
    <row r="887" spans="1:4" x14ac:dyDescent="0.25">
      <c r="A887" t="str">
        <f>T("   320890")</f>
        <v xml:space="preserve">   320890</v>
      </c>
      <c r="B887" t="s">
        <v>32</v>
      </c>
      <c r="C887">
        <v>80502766</v>
      </c>
      <c r="D887">
        <v>31766</v>
      </c>
    </row>
    <row r="888" spans="1:4" x14ac:dyDescent="0.25">
      <c r="A888" t="str">
        <f>T("   320910")</f>
        <v xml:space="preserve">   320910</v>
      </c>
      <c r="B888" t="str">
        <f>T("   Peintures et vernis à base de polymères acryliques ou vinyliques, dispersés ou dissous dans un milieu aqueux")</f>
        <v xml:space="preserve">   Peintures et vernis à base de polymères acryliques ou vinyliques, dispersés ou dissous dans un milieu aqueux</v>
      </c>
      <c r="C888">
        <v>9162150</v>
      </c>
      <c r="D888">
        <v>10915</v>
      </c>
    </row>
    <row r="889" spans="1:4" x14ac:dyDescent="0.25">
      <c r="A889" t="str">
        <f>T("   340212")</f>
        <v xml:space="preserve">   340212</v>
      </c>
      <c r="B889" t="str">
        <f>T("   Agents de surface organiques, cationiques, même conditionnés pour la vente au détail (à l'excl. des savons)")</f>
        <v xml:space="preserve">   Agents de surface organiques, cationiques, même conditionnés pour la vente au détail (à l'excl. des savons)</v>
      </c>
      <c r="C889">
        <v>8259000</v>
      </c>
      <c r="D889">
        <v>3000</v>
      </c>
    </row>
    <row r="890" spans="1:4" x14ac:dyDescent="0.25">
      <c r="A890" t="str">
        <f>T("   340219")</f>
        <v xml:space="preserve">   340219</v>
      </c>
      <c r="B890" t="str">
        <f>T("   Agents de surface organiques, même conditionnés pour la vente au détail (à l'excl. des savons et des agents de surface anioniques, cationiques ou non ioniques)")</f>
        <v xml:space="preserve">   Agents de surface organiques, même conditionnés pour la vente au détail (à l'excl. des savons et des agents de surface anioniques, cationiques ou non ioniques)</v>
      </c>
      <c r="C890">
        <v>13223517</v>
      </c>
      <c r="D890">
        <v>22535</v>
      </c>
    </row>
    <row r="891" spans="1:4" x14ac:dyDescent="0.25">
      <c r="A891" t="str">
        <f>T("   380890")</f>
        <v xml:space="preserve">   380890</v>
      </c>
      <c r="B891" t="str">
        <f>T("   Antirongeurs et autres produits phytosanitaires, présentés dans des formes ou emballages de vente au détail ou à l'état de préparations ou sous forme d'articles (à l'excl. des insecticides, des fongicides, des herbicides et des désinfectants)")</f>
        <v xml:space="preserve">   Antirongeurs et autres produits phytosanitaires, présentés dans des formes ou emballages de vente au détail ou à l'état de préparations ou sous forme d'articles (à l'excl. des insecticides, des fongicides, des herbicides et des désinfectants)</v>
      </c>
      <c r="C891">
        <v>485082</v>
      </c>
      <c r="D891">
        <v>132</v>
      </c>
    </row>
    <row r="892" spans="1:4" x14ac:dyDescent="0.25">
      <c r="A892" t="str">
        <f>T("   381400")</f>
        <v xml:space="preserve">   381400</v>
      </c>
      <c r="B89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92">
        <v>716040</v>
      </c>
      <c r="D892">
        <v>396</v>
      </c>
    </row>
    <row r="893" spans="1:4" x14ac:dyDescent="0.25">
      <c r="A893" t="str">
        <f>T("   382490")</f>
        <v xml:space="preserve">   382490</v>
      </c>
      <c r="B893"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893">
        <v>1851470</v>
      </c>
      <c r="D893">
        <v>23830</v>
      </c>
    </row>
    <row r="894" spans="1:4" x14ac:dyDescent="0.25">
      <c r="A894" t="str">
        <f>T("   390410")</f>
        <v xml:space="preserve">   390410</v>
      </c>
      <c r="B894" t="str">
        <f>T("   Poly[chlorure de vinyle], sous formes primaires, non mélangé à d'autres substances")</f>
        <v xml:space="preserve">   Poly[chlorure de vinyle], sous formes primaires, non mélangé à d'autres substances</v>
      </c>
      <c r="C894">
        <v>46875000</v>
      </c>
      <c r="D894">
        <v>25000</v>
      </c>
    </row>
    <row r="895" spans="1:4" x14ac:dyDescent="0.25">
      <c r="A895" t="str">
        <f>T("   391590")</f>
        <v xml:space="preserve">   391590</v>
      </c>
      <c r="B895"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895">
        <v>5663125</v>
      </c>
      <c r="D895">
        <v>226525</v>
      </c>
    </row>
    <row r="896" spans="1:4" x14ac:dyDescent="0.25">
      <c r="A896" t="str">
        <f>T("   391721")</f>
        <v xml:space="preserve">   391721</v>
      </c>
      <c r="B896" t="str">
        <f>T("   TUBES ET TUYAUX RIGIDES, EN POLYMÈRES DE L'ÉTHYLÈNE")</f>
        <v xml:space="preserve">   TUBES ET TUYAUX RIGIDES, EN POLYMÈRES DE L'ÉTHYLÈNE</v>
      </c>
      <c r="C896">
        <v>86852000</v>
      </c>
      <c r="D896">
        <v>96350</v>
      </c>
    </row>
    <row r="897" spans="1:4" x14ac:dyDescent="0.25">
      <c r="A897" t="str">
        <f>T("   391723")</f>
        <v xml:space="preserve">   391723</v>
      </c>
      <c r="B897" t="str">
        <f>T("   TUBES ET TUYAUX RIGIDES, EN POLYMÈRES DU CHLORURE DE VINYLE")</f>
        <v xml:space="preserve">   TUBES ET TUYAUX RIGIDES, EN POLYMÈRES DU CHLORURE DE VINYLE</v>
      </c>
      <c r="C897">
        <v>49314525</v>
      </c>
      <c r="D897">
        <v>20092760.140000001</v>
      </c>
    </row>
    <row r="898" spans="1:4" x14ac:dyDescent="0.25">
      <c r="A898" t="str">
        <f>T("   391739")</f>
        <v xml:space="preserve">   391739</v>
      </c>
      <c r="B898"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98">
        <v>58880844</v>
      </c>
      <c r="D898">
        <v>42910.68</v>
      </c>
    </row>
    <row r="899" spans="1:4" x14ac:dyDescent="0.25">
      <c r="A899" t="str">
        <f>T("   391910")</f>
        <v xml:space="preserve">   391910</v>
      </c>
      <c r="B899" t="str">
        <f>T("   Feuilles, bandes, rubans, pellicules et autres formes plates, auto-adhésifs, en matières plastiques, en rouleaux d'une largeur &lt;= 20 cm")</f>
        <v xml:space="preserve">   Feuilles, bandes, rubans, pellicules et autres formes plates, auto-adhésifs, en matières plastiques, en rouleaux d'une largeur &lt;= 20 cm</v>
      </c>
      <c r="C899">
        <v>1971284</v>
      </c>
      <c r="D899">
        <v>1665</v>
      </c>
    </row>
    <row r="900" spans="1:4" x14ac:dyDescent="0.25">
      <c r="A900" t="str">
        <f>T("   392310")</f>
        <v xml:space="preserve">   392310</v>
      </c>
      <c r="B900" t="str">
        <f>T("   Boîtes, caisses, casiers et articles simil. pour le transport ou l'emballage, en matières plastiques")</f>
        <v xml:space="preserve">   Boîtes, caisses, casiers et articles simil. pour le transport ou l'emballage, en matières plastiques</v>
      </c>
      <c r="C900">
        <v>2780000</v>
      </c>
      <c r="D900">
        <v>9900</v>
      </c>
    </row>
    <row r="901" spans="1:4" x14ac:dyDescent="0.25">
      <c r="A901" t="str">
        <f>T("   401410")</f>
        <v xml:space="preserve">   401410</v>
      </c>
      <c r="B901" t="str">
        <f>T("   Préservatifs en caoutchouc vulcanisé non durci")</f>
        <v xml:space="preserve">   Préservatifs en caoutchouc vulcanisé non durci</v>
      </c>
      <c r="C901">
        <v>1000000</v>
      </c>
      <c r="D901">
        <v>8000</v>
      </c>
    </row>
    <row r="902" spans="1:4" x14ac:dyDescent="0.25">
      <c r="A902" t="str">
        <f>T("   420292")</f>
        <v xml:space="preserve">   420292</v>
      </c>
      <c r="B902" t="s">
        <v>39</v>
      </c>
      <c r="C902">
        <v>700000</v>
      </c>
      <c r="D902">
        <v>585</v>
      </c>
    </row>
    <row r="903" spans="1:4" x14ac:dyDescent="0.25">
      <c r="A903" t="str">
        <f>T("   440729")</f>
        <v xml:space="preserve">   440729</v>
      </c>
      <c r="B903" t="s">
        <v>47</v>
      </c>
      <c r="C903">
        <v>5000000</v>
      </c>
      <c r="D903">
        <v>250000</v>
      </c>
    </row>
    <row r="904" spans="1:4" x14ac:dyDescent="0.25">
      <c r="A904" t="str">
        <f>T("   440799")</f>
        <v xml:space="preserve">   440799</v>
      </c>
      <c r="B904" t="s">
        <v>48</v>
      </c>
      <c r="C904">
        <v>7500000</v>
      </c>
      <c r="D904">
        <v>300000</v>
      </c>
    </row>
    <row r="905" spans="1:4" x14ac:dyDescent="0.25">
      <c r="A905" t="str">
        <f>T("   481910")</f>
        <v xml:space="preserve">   481910</v>
      </c>
      <c r="B905" t="str">
        <f>T("   Boîtes et caisses en papier ou en carton ondulé")</f>
        <v xml:space="preserve">   Boîtes et caisses en papier ou en carton ondulé</v>
      </c>
      <c r="C905">
        <v>1028315</v>
      </c>
      <c r="D905">
        <v>863</v>
      </c>
    </row>
    <row r="906" spans="1:4" x14ac:dyDescent="0.25">
      <c r="A906" t="str">
        <f>T("   482020")</f>
        <v xml:space="preserve">   482020</v>
      </c>
      <c r="B906" t="str">
        <f>T("   Cahiers pour l'écriture, en papier ou carton")</f>
        <v xml:space="preserve">   Cahiers pour l'écriture, en papier ou carton</v>
      </c>
      <c r="C906">
        <v>8925000</v>
      </c>
      <c r="D906">
        <v>28413</v>
      </c>
    </row>
    <row r="907" spans="1:4" x14ac:dyDescent="0.25">
      <c r="A907" t="str">
        <f>T("   490700")</f>
        <v xml:space="preserve">   490700</v>
      </c>
      <c r="B907" t="s">
        <v>52</v>
      </c>
      <c r="C907">
        <v>13900000</v>
      </c>
      <c r="D907">
        <v>7056</v>
      </c>
    </row>
    <row r="908" spans="1:4" x14ac:dyDescent="0.25">
      <c r="A908" t="str">
        <f>T("   520299")</f>
        <v xml:space="preserve">   520299</v>
      </c>
      <c r="B908" t="str">
        <f>T("   Déchets de coton (à l'excl. des déchets de fils et des effilochés)")</f>
        <v xml:space="preserve">   Déchets de coton (à l'excl. des déchets de fils et des effilochés)</v>
      </c>
      <c r="C908">
        <v>17072595</v>
      </c>
      <c r="D908">
        <v>128419</v>
      </c>
    </row>
    <row r="909" spans="1:4" x14ac:dyDescent="0.25">
      <c r="A909" t="str">
        <f>T("   630510")</f>
        <v xml:space="preserve">   630510</v>
      </c>
      <c r="B909" t="str">
        <f>T("   Sacs et sachets d'emballage de jute ou d'autres fibres textiles libériennes du n° 5303")</f>
        <v xml:space="preserve">   Sacs et sachets d'emballage de jute ou d'autres fibres textiles libériennes du n° 5303</v>
      </c>
      <c r="C909">
        <v>2700000</v>
      </c>
      <c r="D909">
        <v>3700</v>
      </c>
    </row>
    <row r="910" spans="1:4" x14ac:dyDescent="0.25">
      <c r="A910" t="str">
        <f>T("   720839")</f>
        <v xml:space="preserve">   720839</v>
      </c>
      <c r="B910" t="str">
        <f>T("   PRODUITS LAMINÉS PLATS, EN FER OU EN ACIERS NON ALLIÉS, D'UNE LARGEUR &gt;= 600 MM, ENROULÉS, SIMPLEMENT LAMINÉS À CHAUD, NON PLAQUÉS NI REVÊTUS, ÉPAISSEUR &lt; 3 MM (SANS MOTIFS EN RELIEF, ET AUTRES QUE DÉCAPÉS)")</f>
        <v xml:space="preserve">   PRODUITS LAMINÉS PLATS, EN FER OU EN ACIERS NON ALLIÉS, D'UNE LARGEUR &gt;= 600 MM, ENROULÉS, SIMPLEMENT LAMINÉS À CHAUD, NON PLAQUÉS NI REVÊTUS, ÉPAISSEUR &lt; 3 MM (SANS MOTIFS EN RELIEF, ET AUTRES QUE DÉCAPÉS)</v>
      </c>
      <c r="C910">
        <v>192141400</v>
      </c>
      <c r="D910">
        <v>550000</v>
      </c>
    </row>
    <row r="911" spans="1:4" x14ac:dyDescent="0.25">
      <c r="A911" t="str">
        <f>T("   720890")</f>
        <v xml:space="preserve">   720890</v>
      </c>
      <c r="B911" t="str">
        <f>T("   PRODUITS LAMINÉS PLATS, EN FER OU EN ACIER, D'UNE LARGEUR &gt;= 600 MM, LAMINÉS À CHAUD ET AYANT SUBI CERTAINES OUVRAISONS PLUS POUSSÉES, MAIS NON-PLAQUÉS NI REVÊTUS")</f>
        <v xml:space="preserve">   PRODUITS LAMINÉS PLATS, EN FER OU EN ACIER, D'UNE LARGEUR &gt;= 600 MM, LAMINÉS À CHAUD ET AYANT SUBI CERTAINES OUVRAISONS PLUS POUSSÉES, MAIS NON-PLAQUÉS NI REVÊTUS</v>
      </c>
      <c r="C911">
        <v>2773813</v>
      </c>
      <c r="D911">
        <v>875</v>
      </c>
    </row>
    <row r="912" spans="1:4" x14ac:dyDescent="0.25">
      <c r="A912" t="str">
        <f>T("   721391")</f>
        <v xml:space="preserve">   721391</v>
      </c>
      <c r="B91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912">
        <v>135417212</v>
      </c>
      <c r="D912">
        <v>400660</v>
      </c>
    </row>
    <row r="913" spans="1:4" x14ac:dyDescent="0.25">
      <c r="A913" t="str">
        <f>T("   730820")</f>
        <v xml:space="preserve">   730820</v>
      </c>
      <c r="B913" t="str">
        <f>T("   Tours et pylônes, en fer ou en acier")</f>
        <v xml:space="preserve">   Tours et pylônes, en fer ou en acier</v>
      </c>
      <c r="C913">
        <v>4591699</v>
      </c>
      <c r="D913">
        <v>500</v>
      </c>
    </row>
    <row r="914" spans="1:4" x14ac:dyDescent="0.25">
      <c r="A914" t="str">
        <f>T("   730830")</f>
        <v xml:space="preserve">   730830</v>
      </c>
      <c r="B914" t="str">
        <f>T("   Portes, fenêtres et leurs cadres et chambranles ainsi que leurs seuils, en fer ou en acier")</f>
        <v xml:space="preserve">   Portes, fenêtres et leurs cadres et chambranles ainsi que leurs seuils, en fer ou en acier</v>
      </c>
      <c r="C914">
        <v>240000</v>
      </c>
      <c r="D914">
        <v>500</v>
      </c>
    </row>
    <row r="915" spans="1:4" x14ac:dyDescent="0.25">
      <c r="A915" t="str">
        <f>T("   732111")</f>
        <v xml:space="preserve">   732111</v>
      </c>
      <c r="B915" t="s">
        <v>69</v>
      </c>
      <c r="C915">
        <v>24718678</v>
      </c>
      <c r="D915">
        <v>13200</v>
      </c>
    </row>
    <row r="916" spans="1:4" x14ac:dyDescent="0.25">
      <c r="A916" t="str">
        <f>T("   732591")</f>
        <v xml:space="preserve">   732591</v>
      </c>
      <c r="B916" t="str">
        <f>T("   Boulets et simil., pour broyeurs, moulés (sauf en fonte non malléable)")</f>
        <v xml:space="preserve">   Boulets et simil., pour broyeurs, moulés (sauf en fonte non malléable)</v>
      </c>
      <c r="C916">
        <v>6493974</v>
      </c>
      <c r="D916">
        <v>18000</v>
      </c>
    </row>
    <row r="917" spans="1:4" x14ac:dyDescent="0.25">
      <c r="A917" t="str">
        <f>T("   732690")</f>
        <v xml:space="preserve">   732690</v>
      </c>
      <c r="B91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17">
        <v>2520000</v>
      </c>
      <c r="D917">
        <v>4425</v>
      </c>
    </row>
    <row r="918" spans="1:4" x14ac:dyDescent="0.25">
      <c r="A918" t="str">
        <f>T("   830910")</f>
        <v xml:space="preserve">   830910</v>
      </c>
      <c r="B918" t="str">
        <f>T("   Bouchons-couronnes en métaux communs")</f>
        <v xml:space="preserve">   Bouchons-couronnes en métaux communs</v>
      </c>
      <c r="C918">
        <v>1056000</v>
      </c>
      <c r="D918">
        <v>1583</v>
      </c>
    </row>
    <row r="919" spans="1:4" x14ac:dyDescent="0.25">
      <c r="A919" t="str">
        <f>T("   841319")</f>
        <v xml:space="preserve">   841319</v>
      </c>
      <c r="B919" t="str">
        <f>T("   Pompes pour liquides, avec dispositif mesureur ou conçues pour en comporter (sauf pompes pour la distribution de carburants ou lubrifiants, des types utilisés dans les stations-service ou les garages)")</f>
        <v xml:space="preserve">   Pompes pour liquides, avec dispositif mesureur ou conçues pour en comporter (sauf pompes pour la distribution de carburants ou lubrifiants, des types utilisés dans les stations-service ou les garages)</v>
      </c>
      <c r="C919">
        <v>8480648</v>
      </c>
      <c r="D919">
        <v>6080</v>
      </c>
    </row>
    <row r="920" spans="1:4" x14ac:dyDescent="0.25">
      <c r="A920" t="str">
        <f>T("   841381")</f>
        <v xml:space="preserve">   841381</v>
      </c>
      <c r="B920" t="s">
        <v>81</v>
      </c>
      <c r="C920">
        <v>480006</v>
      </c>
      <c r="D920">
        <v>5000</v>
      </c>
    </row>
    <row r="921" spans="1:4" x14ac:dyDescent="0.25">
      <c r="A921" t="str">
        <f>T("   841382")</f>
        <v xml:space="preserve">   841382</v>
      </c>
      <c r="B921" t="str">
        <f>T("   Elévateurs à liquides (à l'excl. des pompes)")</f>
        <v xml:space="preserve">   Elévateurs à liquides (à l'excl. des pompes)</v>
      </c>
      <c r="C921">
        <v>4000000</v>
      </c>
      <c r="D921">
        <v>10470</v>
      </c>
    </row>
    <row r="922" spans="1:4" x14ac:dyDescent="0.25">
      <c r="A922" t="str">
        <f>T("   841459")</f>
        <v xml:space="preserve">   841459</v>
      </c>
      <c r="B922" t="str">
        <f>T("   Ventilateurs (sauf ventilateurs de table, de sol, muraux, plafonniers, de toitures ou de fenêtres, à moteur électrique incorporé, d'une puissance &lt;= 125 W)")</f>
        <v xml:space="preserve">   Ventilateurs (sauf ventilateurs de table, de sol, muraux, plafonniers, de toitures ou de fenêtres, à moteur électrique incorporé, d'une puissance &lt;= 125 W)</v>
      </c>
      <c r="C922">
        <v>1500000</v>
      </c>
      <c r="D922">
        <v>1375</v>
      </c>
    </row>
    <row r="923" spans="1:4" x14ac:dyDescent="0.25">
      <c r="A923" t="str">
        <f>T("   841510")</f>
        <v xml:space="preserve">   841510</v>
      </c>
      <c r="B923" t="s">
        <v>82</v>
      </c>
      <c r="C923">
        <v>111946110</v>
      </c>
      <c r="D923">
        <v>30950</v>
      </c>
    </row>
    <row r="924" spans="1:4" x14ac:dyDescent="0.25">
      <c r="A924" t="str">
        <f>T("   841810")</f>
        <v xml:space="preserve">   841810</v>
      </c>
      <c r="B924" t="str">
        <f>T("   Réfrigérateurs et congélateurs-conservateurs combinés, avec portes extérieures séparées")</f>
        <v xml:space="preserve">   Réfrigérateurs et congélateurs-conservateurs combinés, avec portes extérieures séparées</v>
      </c>
      <c r="C924">
        <v>20264779</v>
      </c>
      <c r="D924">
        <v>4690</v>
      </c>
    </row>
    <row r="925" spans="1:4" x14ac:dyDescent="0.25">
      <c r="A925" t="str">
        <f>T("   841829")</f>
        <v xml:space="preserve">   841829</v>
      </c>
      <c r="B925" t="str">
        <f>T("   Réfrigérateurs ménagers à absorption, non-électriques")</f>
        <v xml:space="preserve">   Réfrigérateurs ménagers à absorption, non-électriques</v>
      </c>
      <c r="C925">
        <v>12345545</v>
      </c>
      <c r="D925">
        <v>4800</v>
      </c>
    </row>
    <row r="926" spans="1:4" x14ac:dyDescent="0.25">
      <c r="A926" t="str">
        <f>T("   842790")</f>
        <v xml:space="preserve">   842790</v>
      </c>
      <c r="B926" t="str">
        <f>T("   Chariots de manutention munis d'un dispositif de levage mais non autopropulsés")</f>
        <v xml:space="preserve">   Chariots de manutention munis d'un dispositif de levage mais non autopropulsés</v>
      </c>
      <c r="C926">
        <v>20000000</v>
      </c>
      <c r="D926">
        <v>18000</v>
      </c>
    </row>
    <row r="927" spans="1:4" x14ac:dyDescent="0.25">
      <c r="A927" t="str">
        <f>T("   842820")</f>
        <v xml:space="preserve">   842820</v>
      </c>
      <c r="B927" t="str">
        <f>T("   Appareils élévateurs ou transporteurs, pneumatiques")</f>
        <v xml:space="preserve">   Appareils élévateurs ou transporteurs, pneumatiques</v>
      </c>
      <c r="C927">
        <v>450000</v>
      </c>
      <c r="D927">
        <v>3700</v>
      </c>
    </row>
    <row r="928" spans="1:4" x14ac:dyDescent="0.25">
      <c r="A928" t="str">
        <f>T("   842831")</f>
        <v xml:space="preserve">   842831</v>
      </c>
      <c r="B928" t="str">
        <f>T("   Appareils élévateurs, transporteurs ou convoyeurs pour marchandises, à action continue, spécialement conçus pour mines au fond ou autres travaux souterrains (à l'excl. des appareils élévateurs ou transporteurs pneumatiques)")</f>
        <v xml:space="preserve">   Appareils élévateurs, transporteurs ou convoyeurs pour marchandises, à action continue, spécialement conçus pour mines au fond ou autres travaux souterrains (à l'excl. des appareils élévateurs ou transporteurs pneumatiques)</v>
      </c>
      <c r="C928">
        <v>4000000</v>
      </c>
      <c r="D928">
        <v>8480</v>
      </c>
    </row>
    <row r="929" spans="1:4" x14ac:dyDescent="0.25">
      <c r="A929" t="str">
        <f>T("   842839")</f>
        <v xml:space="preserve">   842839</v>
      </c>
      <c r="B929" t="str">
        <f>T("   Appareils élévateurs, transporteurs ou convoyeurs pour marchandises, à action continue (autres que conçus pour mines au fond ou pour autres travaux souterrains, autres qu'à benne, à bande ou à courroie et autres que pneumatiques)")</f>
        <v xml:space="preserve">   Appareils élévateurs, transporteurs ou convoyeurs pour marchandises, à action continue (autres que conçus pour mines au fond ou pour autres travaux souterrains, autres qu'à benne, à bande ou à courroie et autres que pneumatiques)</v>
      </c>
      <c r="C929">
        <v>6900000</v>
      </c>
      <c r="D929">
        <v>23910</v>
      </c>
    </row>
    <row r="930" spans="1:4" x14ac:dyDescent="0.25">
      <c r="A930" t="str">
        <f>T("   842940")</f>
        <v xml:space="preserve">   842940</v>
      </c>
      <c r="B930" t="str">
        <f>T("   Rouleaux compresseurs et autres compacteuses, autopropulsés")</f>
        <v xml:space="preserve">   Rouleaux compresseurs et autres compacteuses, autopropulsés</v>
      </c>
      <c r="C930">
        <v>29100000</v>
      </c>
      <c r="D930">
        <v>46950</v>
      </c>
    </row>
    <row r="931" spans="1:4" x14ac:dyDescent="0.25">
      <c r="A931" t="str">
        <f>T("   842951")</f>
        <v xml:space="preserve">   842951</v>
      </c>
      <c r="B931" t="str">
        <f>T("   Chargeuses et chargeuses-pelleteuses, à chargement frontal, autopropulsées")</f>
        <v xml:space="preserve">   Chargeuses et chargeuses-pelleteuses, à chargement frontal, autopropulsées</v>
      </c>
      <c r="C931">
        <v>25000000</v>
      </c>
      <c r="D931">
        <v>18000</v>
      </c>
    </row>
    <row r="932" spans="1:4" x14ac:dyDescent="0.25">
      <c r="A932" t="str">
        <f>T("   842959")</f>
        <v xml:space="preserve">   842959</v>
      </c>
      <c r="B932"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32">
        <v>130455700</v>
      </c>
      <c r="D932">
        <v>76000</v>
      </c>
    </row>
    <row r="933" spans="1:4" x14ac:dyDescent="0.25">
      <c r="A933" t="str">
        <f>T("   843149")</f>
        <v xml:space="preserve">   843149</v>
      </c>
      <c r="B933" t="str">
        <f>T("   Parties de machines et appareils du n° 8426, 8429 ou 8430, n.d.a.")</f>
        <v xml:space="preserve">   Parties de machines et appareils du n° 8426, 8429 ou 8430, n.d.a.</v>
      </c>
      <c r="C933">
        <v>365000</v>
      </c>
      <c r="D933">
        <v>412</v>
      </c>
    </row>
    <row r="934" spans="1:4" x14ac:dyDescent="0.25">
      <c r="A934" t="str">
        <f>T("   846390")</f>
        <v xml:space="preserve">   846390</v>
      </c>
      <c r="B934" t="s">
        <v>87</v>
      </c>
      <c r="C934">
        <v>16969977</v>
      </c>
      <c r="D934">
        <v>560</v>
      </c>
    </row>
    <row r="935" spans="1:4" x14ac:dyDescent="0.25">
      <c r="A935" t="str">
        <f>T("   846599")</f>
        <v xml:space="preserve">   846599</v>
      </c>
      <c r="B935" t="s">
        <v>88</v>
      </c>
      <c r="C935">
        <v>2296000</v>
      </c>
      <c r="D935">
        <v>200</v>
      </c>
    </row>
    <row r="936" spans="1:4" x14ac:dyDescent="0.25">
      <c r="A936" t="str">
        <f>T("   847431")</f>
        <v xml:space="preserve">   847431</v>
      </c>
      <c r="B936"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36">
        <v>16000000</v>
      </c>
      <c r="D936">
        <v>12445</v>
      </c>
    </row>
    <row r="937" spans="1:4" x14ac:dyDescent="0.25">
      <c r="A937" t="str">
        <f>T("   847910")</f>
        <v xml:space="preserve">   847910</v>
      </c>
      <c r="B937" t="str">
        <f>T("   Machines et appareils pour les travaux publics, le bâtiment ou les travaux analogues, n.d.a.")</f>
        <v xml:space="preserve">   Machines et appareils pour les travaux publics, le bâtiment ou les travaux analogues, n.d.a.</v>
      </c>
      <c r="C937">
        <v>31500000</v>
      </c>
      <c r="D937">
        <v>22280</v>
      </c>
    </row>
    <row r="938" spans="1:4" x14ac:dyDescent="0.25">
      <c r="A938" t="str">
        <f>T("   848590")</f>
        <v xml:space="preserve">   848590</v>
      </c>
      <c r="B938" t="str">
        <f>T("   Parties de machines et appareils du chapitre 84, sans caractéristiques spéciales d'utilisation, n.d.a.")</f>
        <v xml:space="preserve">   Parties de machines et appareils du chapitre 84, sans caractéristiques spéciales d'utilisation, n.d.a.</v>
      </c>
      <c r="C938">
        <v>1294245</v>
      </c>
      <c r="D938">
        <v>1811</v>
      </c>
    </row>
    <row r="939" spans="1:4" x14ac:dyDescent="0.25">
      <c r="A939" t="str">
        <f>T("   851790")</f>
        <v xml:space="preserve">   851790</v>
      </c>
      <c r="B939" t="s">
        <v>94</v>
      </c>
      <c r="C939">
        <v>9000000</v>
      </c>
      <c r="D939">
        <v>250</v>
      </c>
    </row>
    <row r="940" spans="1:4" x14ac:dyDescent="0.25">
      <c r="A940" t="str">
        <f>T("   853890")</f>
        <v xml:space="preserve">   853890</v>
      </c>
      <c r="B940" t="s">
        <v>95</v>
      </c>
      <c r="C940">
        <v>450000</v>
      </c>
      <c r="D940">
        <v>7360</v>
      </c>
    </row>
    <row r="941" spans="1:4" x14ac:dyDescent="0.25">
      <c r="A941" t="str">
        <f>T("   870322")</f>
        <v xml:space="preserve">   870322</v>
      </c>
      <c r="B941" t="s">
        <v>97</v>
      </c>
      <c r="C941">
        <v>1200000</v>
      </c>
      <c r="D941">
        <v>1890</v>
      </c>
    </row>
    <row r="942" spans="1:4" x14ac:dyDescent="0.25">
      <c r="A942" t="str">
        <f>T("   870324")</f>
        <v xml:space="preserve">   870324</v>
      </c>
      <c r="B942" t="s">
        <v>99</v>
      </c>
      <c r="C942">
        <v>2676426</v>
      </c>
      <c r="D942">
        <v>1300</v>
      </c>
    </row>
    <row r="943" spans="1:4" x14ac:dyDescent="0.25">
      <c r="A943" t="str">
        <f>T("   870422")</f>
        <v xml:space="preserve">   870422</v>
      </c>
      <c r="B943" t="s">
        <v>103</v>
      </c>
      <c r="C943">
        <v>10788415</v>
      </c>
      <c r="D943">
        <v>20660</v>
      </c>
    </row>
    <row r="944" spans="1:4" x14ac:dyDescent="0.25">
      <c r="A944" t="str">
        <f>T("   871640")</f>
        <v xml:space="preserve">   871640</v>
      </c>
      <c r="B944"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44">
        <v>4500000</v>
      </c>
      <c r="D944">
        <v>7500</v>
      </c>
    </row>
    <row r="945" spans="1:4" x14ac:dyDescent="0.25">
      <c r="A945" t="str">
        <f>T("   871690")</f>
        <v xml:space="preserve">   871690</v>
      </c>
      <c r="B945" t="str">
        <f>T("   PARTIES DE REMORQUES, SEMI-REMORQUES ET AUTRES VÉHICULES NON-AUTOMOBILES, N.D.A.")</f>
        <v xml:space="preserve">   PARTIES DE REMORQUES, SEMI-REMORQUES ET AUTRES VÉHICULES NON-AUTOMOBILES, N.D.A.</v>
      </c>
      <c r="C945">
        <v>150000</v>
      </c>
      <c r="D945">
        <v>50</v>
      </c>
    </row>
    <row r="946" spans="1:4" x14ac:dyDescent="0.25">
      <c r="A946" t="str">
        <f>T("   890190")</f>
        <v xml:space="preserve">   890190</v>
      </c>
      <c r="B946" t="str">
        <f>T("   Cargos et bateaux pour le transport de personnes et de marchandises (autres que bateaux frigorifiques, bateaux-citernes, cargos et bateaux destinés essentiellement au transport des personnes)")</f>
        <v xml:space="preserve">   Cargos et bateaux pour le transport de personnes et de marchandises (autres que bateaux frigorifiques, bateaux-citernes, cargos et bateaux destinés essentiellement au transport des personnes)</v>
      </c>
      <c r="C946">
        <v>73795500</v>
      </c>
      <c r="D946">
        <v>12000</v>
      </c>
    </row>
    <row r="947" spans="1:4" x14ac:dyDescent="0.25">
      <c r="A947" t="str">
        <f>T("   940320")</f>
        <v xml:space="preserve">   940320</v>
      </c>
      <c r="B947"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947">
        <v>1054570</v>
      </c>
      <c r="D947">
        <v>2314</v>
      </c>
    </row>
    <row r="948" spans="1:4" x14ac:dyDescent="0.25">
      <c r="A948" t="str">
        <f>T("TH")</f>
        <v>TH</v>
      </c>
      <c r="B948" t="str">
        <f>T("Thaïlande")</f>
        <v>Thaïlande</v>
      </c>
    </row>
    <row r="949" spans="1:4" x14ac:dyDescent="0.25">
      <c r="A949" t="str">
        <f>T("   ZZ_Total_Produit_SH6")</f>
        <v xml:space="preserve">   ZZ_Total_Produit_SH6</v>
      </c>
      <c r="B949" t="str">
        <f>T("   ZZ_Total_Produit_SH6")</f>
        <v xml:space="preserve">   ZZ_Total_Produit_SH6</v>
      </c>
      <c r="C949">
        <v>2844030997</v>
      </c>
      <c r="D949">
        <v>3993243</v>
      </c>
    </row>
    <row r="950" spans="1:4" x14ac:dyDescent="0.25">
      <c r="A950" t="str">
        <f>T("   080290")</f>
        <v xml:space="preserve">   080290</v>
      </c>
      <c r="B950"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950">
        <v>1000000</v>
      </c>
      <c r="D950">
        <v>20000</v>
      </c>
    </row>
    <row r="951" spans="1:4" x14ac:dyDescent="0.25">
      <c r="A951" t="str">
        <f>T("   120710")</f>
        <v xml:space="preserve">   120710</v>
      </c>
      <c r="B951" t="str">
        <f>T("   NOIX ET AMANDES DE PALMISTES")</f>
        <v xml:space="preserve">   NOIX ET AMANDES DE PALMISTES</v>
      </c>
      <c r="C951">
        <v>102497273</v>
      </c>
      <c r="D951">
        <v>63742</v>
      </c>
    </row>
    <row r="952" spans="1:4" x14ac:dyDescent="0.25">
      <c r="A952" t="str">
        <f>T("   520100")</f>
        <v xml:space="preserve">   520100</v>
      </c>
      <c r="B952" t="str">
        <f>T("   COTON, NON-CARDÉ NI PEIGNÉ")</f>
        <v xml:space="preserve">   COTON, NON-CARDÉ NI PEIGNÉ</v>
      </c>
      <c r="C952">
        <v>2718033824</v>
      </c>
      <c r="D952">
        <v>3457801</v>
      </c>
    </row>
    <row r="953" spans="1:4" x14ac:dyDescent="0.25">
      <c r="A953" t="str">
        <f>T("   710490")</f>
        <v xml:space="preserve">   710490</v>
      </c>
      <c r="B953" t="s">
        <v>63</v>
      </c>
      <c r="C953">
        <v>999900</v>
      </c>
      <c r="D953">
        <v>21700</v>
      </c>
    </row>
    <row r="954" spans="1:4" x14ac:dyDescent="0.25">
      <c r="A954" t="str">
        <f>T("   720449")</f>
        <v xml:space="preserve">   720449</v>
      </c>
      <c r="B954" t="s">
        <v>64</v>
      </c>
      <c r="C954">
        <v>21500000</v>
      </c>
      <c r="D954">
        <v>430000</v>
      </c>
    </row>
    <row r="955" spans="1:4" x14ac:dyDescent="0.25">
      <c r="A955" t="str">
        <f>T("TK")</f>
        <v>TK</v>
      </c>
      <c r="B955" t="str">
        <f>T("Tokelau")</f>
        <v>Tokelau</v>
      </c>
    </row>
    <row r="956" spans="1:4" x14ac:dyDescent="0.25">
      <c r="A956" t="str">
        <f>T("   ZZ_Total_Produit_SH6")</f>
        <v xml:space="preserve">   ZZ_Total_Produit_SH6</v>
      </c>
      <c r="B956" t="str">
        <f>T("   ZZ_Total_Produit_SH6")</f>
        <v xml:space="preserve">   ZZ_Total_Produit_SH6</v>
      </c>
      <c r="C956">
        <v>20000</v>
      </c>
      <c r="D956">
        <v>1</v>
      </c>
    </row>
    <row r="957" spans="1:4" x14ac:dyDescent="0.25">
      <c r="A957" t="str">
        <f>T("   120710")</f>
        <v xml:space="preserve">   120710</v>
      </c>
      <c r="B957" t="str">
        <f>T("   NOIX ET AMANDES DE PALMISTES")</f>
        <v xml:space="preserve">   NOIX ET AMANDES DE PALMISTES</v>
      </c>
      <c r="C957">
        <v>20000</v>
      </c>
      <c r="D957">
        <v>1</v>
      </c>
    </row>
    <row r="958" spans="1:4" x14ac:dyDescent="0.25">
      <c r="A958" t="str">
        <f>T("TN")</f>
        <v>TN</v>
      </c>
      <c r="B958" t="str">
        <f>T("Tunisie")</f>
        <v>Tunisie</v>
      </c>
    </row>
    <row r="959" spans="1:4" x14ac:dyDescent="0.25">
      <c r="A959" t="str">
        <f>T("   ZZ_Total_Produit_SH6")</f>
        <v xml:space="preserve">   ZZ_Total_Produit_SH6</v>
      </c>
      <c r="B959" t="str">
        <f>T("   ZZ_Total_Produit_SH6")</f>
        <v xml:space="preserve">   ZZ_Total_Produit_SH6</v>
      </c>
      <c r="C959">
        <v>25043468</v>
      </c>
      <c r="D959">
        <v>34725</v>
      </c>
    </row>
    <row r="960" spans="1:4" x14ac:dyDescent="0.25">
      <c r="A960" t="str">
        <f>T("   732399")</f>
        <v xml:space="preserve">   732399</v>
      </c>
      <c r="B960" t="s">
        <v>73</v>
      </c>
      <c r="C960">
        <v>200000</v>
      </c>
      <c r="D960">
        <v>10000</v>
      </c>
    </row>
    <row r="961" spans="1:4" x14ac:dyDescent="0.25">
      <c r="A961" t="str">
        <f>T("   760200")</f>
        <v xml:space="preserve">   760200</v>
      </c>
      <c r="B961" t="s">
        <v>74</v>
      </c>
      <c r="C961">
        <v>1000000</v>
      </c>
      <c r="D961">
        <v>20000</v>
      </c>
    </row>
    <row r="962" spans="1:4" x14ac:dyDescent="0.25">
      <c r="A962" t="str">
        <f>T("   870322")</f>
        <v xml:space="preserve">   870322</v>
      </c>
      <c r="B962" t="s">
        <v>97</v>
      </c>
      <c r="C962">
        <v>2000000</v>
      </c>
      <c r="D962">
        <v>3090</v>
      </c>
    </row>
    <row r="963" spans="1:4" x14ac:dyDescent="0.25">
      <c r="A963" t="str">
        <f>T("   870323")</f>
        <v xml:space="preserve">   870323</v>
      </c>
      <c r="B963" t="s">
        <v>98</v>
      </c>
      <c r="C963">
        <v>21843468</v>
      </c>
      <c r="D963">
        <v>1635</v>
      </c>
    </row>
    <row r="964" spans="1:4" x14ac:dyDescent="0.25">
      <c r="A964" t="str">
        <f>T("TR")</f>
        <v>TR</v>
      </c>
      <c r="B964" t="str">
        <f>T("Turquie")</f>
        <v>Turquie</v>
      </c>
    </row>
    <row r="965" spans="1:4" x14ac:dyDescent="0.25">
      <c r="A965" t="str">
        <f>T("   ZZ_Total_Produit_SH6")</f>
        <v xml:space="preserve">   ZZ_Total_Produit_SH6</v>
      </c>
      <c r="B965" t="str">
        <f>T("   ZZ_Total_Produit_SH6")</f>
        <v xml:space="preserve">   ZZ_Total_Produit_SH6</v>
      </c>
      <c r="C965">
        <v>234811397</v>
      </c>
      <c r="D965">
        <v>1087689</v>
      </c>
    </row>
    <row r="966" spans="1:4" x14ac:dyDescent="0.25">
      <c r="A966" t="str">
        <f>T("   230690")</f>
        <v xml:space="preserve">   230690</v>
      </c>
      <c r="B966" t="s">
        <v>24</v>
      </c>
      <c r="C966">
        <v>42699419</v>
      </c>
      <c r="D966">
        <v>804965</v>
      </c>
    </row>
    <row r="967" spans="1:4" x14ac:dyDescent="0.25">
      <c r="A967" t="str">
        <f>T("   440799")</f>
        <v xml:space="preserve">   440799</v>
      </c>
      <c r="B967" t="s">
        <v>48</v>
      </c>
      <c r="C967">
        <v>4000000</v>
      </c>
      <c r="D967">
        <v>40000</v>
      </c>
    </row>
    <row r="968" spans="1:4" x14ac:dyDescent="0.25">
      <c r="A968" t="str">
        <f>T("   520100")</f>
        <v xml:space="preserve">   520100</v>
      </c>
      <c r="B968" t="str">
        <f>T("   COTON, NON-CARDÉ NI PEIGNÉ")</f>
        <v xml:space="preserve">   COTON, NON-CARDÉ NI PEIGNÉ</v>
      </c>
      <c r="C968">
        <v>188111978</v>
      </c>
      <c r="D968">
        <v>242724</v>
      </c>
    </row>
    <row r="969" spans="1:4" x14ac:dyDescent="0.25">
      <c r="A969" t="str">
        <f>T("TZ")</f>
        <v>TZ</v>
      </c>
      <c r="B969" t="str">
        <f>T("Tanzanie")</f>
        <v>Tanzanie</v>
      </c>
    </row>
    <row r="970" spans="1:4" x14ac:dyDescent="0.25">
      <c r="A970" t="str">
        <f>T("   ZZ_Total_Produit_SH6")</f>
        <v xml:space="preserve">   ZZ_Total_Produit_SH6</v>
      </c>
      <c r="B970" t="str">
        <f>T("   ZZ_Total_Produit_SH6")</f>
        <v xml:space="preserve">   ZZ_Total_Produit_SH6</v>
      </c>
      <c r="C970">
        <v>17277210</v>
      </c>
      <c r="D970">
        <v>8000</v>
      </c>
    </row>
    <row r="971" spans="1:4" x14ac:dyDescent="0.25">
      <c r="A971" t="str">
        <f>T("   620590")</f>
        <v xml:space="preserve">   620590</v>
      </c>
      <c r="B97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71">
        <v>850000</v>
      </c>
      <c r="D971">
        <v>935</v>
      </c>
    </row>
    <row r="972" spans="1:4" x14ac:dyDescent="0.25">
      <c r="A972" t="str">
        <f>T("   732394")</f>
        <v xml:space="preserve">   732394</v>
      </c>
      <c r="B972" t="s">
        <v>72</v>
      </c>
      <c r="C972">
        <v>400000</v>
      </c>
      <c r="D972">
        <v>600</v>
      </c>
    </row>
    <row r="973" spans="1:4" x14ac:dyDescent="0.25">
      <c r="A973" t="str">
        <f>T("   843050")</f>
        <v xml:space="preserve">   843050</v>
      </c>
      <c r="B973" t="str">
        <f>T("   Machines et appareils de terrassement, nivellement, décapage, excavation, compactage, extraction ou forage de la terre, des minéraux ou des minerais, autopropulsés, n.d.a.")</f>
        <v xml:space="preserve">   Machines et appareils de terrassement, nivellement, décapage, excavation, compactage, extraction ou forage de la terre, des minéraux ou des minerais, autopropulsés, n.d.a.</v>
      </c>
      <c r="C973">
        <v>8893520</v>
      </c>
      <c r="D973">
        <v>3780</v>
      </c>
    </row>
    <row r="974" spans="1:4" x14ac:dyDescent="0.25">
      <c r="A974" t="str">
        <f>T("   850211")</f>
        <v xml:space="preserve">   850211</v>
      </c>
      <c r="B974" t="s">
        <v>91</v>
      </c>
      <c r="C974">
        <v>250000</v>
      </c>
      <c r="D974">
        <v>15</v>
      </c>
    </row>
    <row r="975" spans="1:4" x14ac:dyDescent="0.25">
      <c r="A975" t="str">
        <f>T("   870323")</f>
        <v xml:space="preserve">   870323</v>
      </c>
      <c r="B975" t="s">
        <v>98</v>
      </c>
      <c r="C975">
        <v>5383690</v>
      </c>
      <c r="D975">
        <v>1220</v>
      </c>
    </row>
    <row r="976" spans="1:4" x14ac:dyDescent="0.25">
      <c r="A976" t="str">
        <f>T("   940350")</f>
        <v xml:space="preserve">   940350</v>
      </c>
      <c r="B976" t="str">
        <f>T("   Meubles pour chambres à coucher, en bois (sauf sièges)")</f>
        <v xml:space="preserve">   Meubles pour chambres à coucher, en bois (sauf sièges)</v>
      </c>
      <c r="C976">
        <v>1400000</v>
      </c>
      <c r="D976">
        <v>1150</v>
      </c>
    </row>
    <row r="977" spans="1:4" x14ac:dyDescent="0.25">
      <c r="A977" t="str">
        <f>T("   950299")</f>
        <v xml:space="preserve">   950299</v>
      </c>
      <c r="B977" t="str">
        <f>T("   Parties et accessoires pour poupées représentant uniquement l'être humain, n.d.a.")</f>
        <v xml:space="preserve">   Parties et accessoires pour poupées représentant uniquement l'être humain, n.d.a.</v>
      </c>
      <c r="C977">
        <v>100000</v>
      </c>
      <c r="D977">
        <v>300</v>
      </c>
    </row>
    <row r="978" spans="1:4" x14ac:dyDescent="0.25">
      <c r="A978" t="str">
        <f>T("UG")</f>
        <v>UG</v>
      </c>
      <c r="B978" t="str">
        <f>T("Ouganda")</f>
        <v>Ouganda</v>
      </c>
    </row>
    <row r="979" spans="1:4" x14ac:dyDescent="0.25">
      <c r="A979" t="str">
        <f>T("   ZZ_Total_Produit_SH6")</f>
        <v xml:space="preserve">   ZZ_Total_Produit_SH6</v>
      </c>
      <c r="B979" t="str">
        <f>T("   ZZ_Total_Produit_SH6")</f>
        <v xml:space="preserve">   ZZ_Total_Produit_SH6</v>
      </c>
      <c r="C979">
        <v>3975000</v>
      </c>
      <c r="D979">
        <v>14000</v>
      </c>
    </row>
    <row r="980" spans="1:4" x14ac:dyDescent="0.25">
      <c r="A980" t="str">
        <f>T("   490199")</f>
        <v xml:space="preserve">   490199</v>
      </c>
      <c r="B98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80">
        <v>500000</v>
      </c>
      <c r="D980">
        <v>500</v>
      </c>
    </row>
    <row r="981" spans="1:4" x14ac:dyDescent="0.25">
      <c r="A981" t="str">
        <f>T("   620590")</f>
        <v xml:space="preserve">   620590</v>
      </c>
      <c r="B9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81">
        <v>300000</v>
      </c>
      <c r="D981">
        <v>300</v>
      </c>
    </row>
    <row r="982" spans="1:4" x14ac:dyDescent="0.25">
      <c r="A982" t="str">
        <f>T("   621050")</f>
        <v xml:space="preserve">   621050</v>
      </c>
      <c r="B982" t="s">
        <v>56</v>
      </c>
      <c r="C982">
        <v>500000</v>
      </c>
      <c r="D982">
        <v>500</v>
      </c>
    </row>
    <row r="983" spans="1:4" x14ac:dyDescent="0.25">
      <c r="A983" t="str">
        <f>T("   732394")</f>
        <v xml:space="preserve">   732394</v>
      </c>
      <c r="B983" t="s">
        <v>72</v>
      </c>
      <c r="C983">
        <v>400000</v>
      </c>
      <c r="D983">
        <v>500</v>
      </c>
    </row>
    <row r="984" spans="1:4" x14ac:dyDescent="0.25">
      <c r="A984" t="str">
        <f>T("   732399")</f>
        <v xml:space="preserve">   732399</v>
      </c>
      <c r="B984" t="s">
        <v>73</v>
      </c>
      <c r="C984">
        <v>375000</v>
      </c>
      <c r="D984">
        <v>500</v>
      </c>
    </row>
    <row r="985" spans="1:4" x14ac:dyDescent="0.25">
      <c r="A985" t="str">
        <f>T("   940350")</f>
        <v xml:space="preserve">   940350</v>
      </c>
      <c r="B985" t="str">
        <f>T("   Meubles pour chambres à coucher, en bois (sauf sièges)")</f>
        <v xml:space="preserve">   Meubles pour chambres à coucher, en bois (sauf sièges)</v>
      </c>
      <c r="C985">
        <v>800000</v>
      </c>
      <c r="D985">
        <v>700</v>
      </c>
    </row>
    <row r="986" spans="1:4" x14ac:dyDescent="0.25">
      <c r="A986" t="str">
        <f>T("   940360")</f>
        <v xml:space="preserve">   940360</v>
      </c>
      <c r="B986" t="str">
        <f>T("   Meubles en bois (autres que pour bureaux, cuisines ou chambres à coucher et autres que sièges)")</f>
        <v xml:space="preserve">   Meubles en bois (autres que pour bureaux, cuisines ou chambres à coucher et autres que sièges)</v>
      </c>
      <c r="C986">
        <v>500000</v>
      </c>
      <c r="D986">
        <v>1000</v>
      </c>
    </row>
    <row r="987" spans="1:4" x14ac:dyDescent="0.25">
      <c r="A987" t="str">
        <f>T("   940380")</f>
        <v xml:space="preserve">   940380</v>
      </c>
      <c r="B987" t="str">
        <f>T("   Meubles en rotin, osier, bambou ou autres matières (sauf métal, bois et matières plastiques)")</f>
        <v xml:space="preserve">   Meubles en rotin, osier, bambou ou autres matières (sauf métal, bois et matières plastiques)</v>
      </c>
      <c r="C987">
        <v>600000</v>
      </c>
      <c r="D987">
        <v>10000</v>
      </c>
    </row>
    <row r="988" spans="1:4" x14ac:dyDescent="0.25">
      <c r="A988" t="str">
        <f>T("US")</f>
        <v>US</v>
      </c>
      <c r="B988" t="str">
        <f>T("Etats-Unis")</f>
        <v>Etats-Unis</v>
      </c>
    </row>
    <row r="989" spans="1:4" x14ac:dyDescent="0.25">
      <c r="A989" t="str">
        <f>T("   ZZ_Total_Produit_SH6")</f>
        <v xml:space="preserve">   ZZ_Total_Produit_SH6</v>
      </c>
      <c r="B989" t="str">
        <f>T("   ZZ_Total_Produit_SH6")</f>
        <v xml:space="preserve">   ZZ_Total_Produit_SH6</v>
      </c>
      <c r="C989">
        <v>113369712</v>
      </c>
      <c r="D989">
        <v>68614</v>
      </c>
    </row>
    <row r="990" spans="1:4" x14ac:dyDescent="0.25">
      <c r="A990" t="str">
        <f>T("   071490")</f>
        <v xml:space="preserve">   071490</v>
      </c>
      <c r="B990" t="s">
        <v>14</v>
      </c>
      <c r="C990">
        <v>1200000</v>
      </c>
      <c r="D990">
        <v>12000</v>
      </c>
    </row>
    <row r="991" spans="1:4" x14ac:dyDescent="0.25">
      <c r="A991" t="str">
        <f>T("   151590")</f>
        <v xml:space="preserve">   151590</v>
      </c>
      <c r="B991" t="s">
        <v>17</v>
      </c>
      <c r="C991">
        <v>11885963</v>
      </c>
      <c r="D991">
        <v>8652</v>
      </c>
    </row>
    <row r="992" spans="1:4" x14ac:dyDescent="0.25">
      <c r="A992" t="str">
        <f>T("   440799")</f>
        <v xml:space="preserve">   440799</v>
      </c>
      <c r="B992" t="s">
        <v>48</v>
      </c>
      <c r="C992">
        <v>12389772</v>
      </c>
      <c r="D992">
        <v>1432</v>
      </c>
    </row>
    <row r="993" spans="1:4" x14ac:dyDescent="0.25">
      <c r="A993" t="str">
        <f>T("   490199")</f>
        <v xml:space="preserve">   490199</v>
      </c>
      <c r="B99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93">
        <v>200000</v>
      </c>
      <c r="D993">
        <v>400</v>
      </c>
    </row>
    <row r="994" spans="1:4" x14ac:dyDescent="0.25">
      <c r="A994" t="str">
        <f>T("   620590")</f>
        <v xml:space="preserve">   620590</v>
      </c>
      <c r="B9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94">
        <v>1500000</v>
      </c>
      <c r="D994">
        <v>1800</v>
      </c>
    </row>
    <row r="995" spans="1:4" x14ac:dyDescent="0.25">
      <c r="A995" t="str">
        <f>T("   732394")</f>
        <v xml:space="preserve">   732394</v>
      </c>
      <c r="B995" t="s">
        <v>72</v>
      </c>
      <c r="C995">
        <v>2000000</v>
      </c>
      <c r="D995">
        <v>1800</v>
      </c>
    </row>
    <row r="996" spans="1:4" x14ac:dyDescent="0.25">
      <c r="A996" t="str">
        <f>T("   870322")</f>
        <v xml:space="preserve">   870322</v>
      </c>
      <c r="B996" t="s">
        <v>97</v>
      </c>
      <c r="C996">
        <v>6185194</v>
      </c>
      <c r="D996">
        <v>1910</v>
      </c>
    </row>
    <row r="997" spans="1:4" x14ac:dyDescent="0.25">
      <c r="A997" t="str">
        <f>T("   870323")</f>
        <v xml:space="preserve">   870323</v>
      </c>
      <c r="B997" t="s">
        <v>98</v>
      </c>
      <c r="C997">
        <v>3706585</v>
      </c>
      <c r="D997">
        <v>1680</v>
      </c>
    </row>
    <row r="998" spans="1:4" x14ac:dyDescent="0.25">
      <c r="A998" t="str">
        <f>T("   870899")</f>
        <v xml:space="preserve">   870899</v>
      </c>
      <c r="B998"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98">
        <v>1500000</v>
      </c>
      <c r="D998">
        <v>2000</v>
      </c>
    </row>
    <row r="999" spans="1:4" x14ac:dyDescent="0.25">
      <c r="A999" t="str">
        <f>T("   940350")</f>
        <v xml:space="preserve">   940350</v>
      </c>
      <c r="B999" t="str">
        <f>T("   Meubles pour chambres à coucher, en bois (sauf sièges)")</f>
        <v xml:space="preserve">   Meubles pour chambres à coucher, en bois (sauf sièges)</v>
      </c>
      <c r="C999">
        <v>2100000</v>
      </c>
      <c r="D999">
        <v>1500</v>
      </c>
    </row>
    <row r="1000" spans="1:4" x14ac:dyDescent="0.25">
      <c r="A1000" t="str">
        <f>T("   940360")</f>
        <v xml:space="preserve">   940360</v>
      </c>
      <c r="B1000" t="str">
        <f>T("   Meubles en bois (autres que pour bureaux, cuisines ou chambres à coucher et autres que sièges)")</f>
        <v xml:space="preserve">   Meubles en bois (autres que pour bureaux, cuisines ou chambres à coucher et autres que sièges)</v>
      </c>
      <c r="C1000">
        <v>65502198</v>
      </c>
      <c r="D1000">
        <v>7568</v>
      </c>
    </row>
    <row r="1001" spans="1:4" x14ac:dyDescent="0.25">
      <c r="A1001" t="str">
        <f>T("   940380")</f>
        <v xml:space="preserve">   940380</v>
      </c>
      <c r="B1001" t="str">
        <f>T("   Meubles en rotin, osier, bambou ou autres matières (sauf métal, bois et matières plastiques)")</f>
        <v xml:space="preserve">   Meubles en rotin, osier, bambou ou autres matières (sauf métal, bois et matières plastiques)</v>
      </c>
      <c r="C1001">
        <v>2700000</v>
      </c>
      <c r="D1001">
        <v>16500</v>
      </c>
    </row>
    <row r="1002" spans="1:4" x14ac:dyDescent="0.25">
      <c r="A1002" t="str">
        <f>T("   950299")</f>
        <v xml:space="preserve">   950299</v>
      </c>
      <c r="B1002" t="str">
        <f>T("   Parties et accessoires pour poupées représentant uniquement l'être humain, n.d.a.")</f>
        <v xml:space="preserve">   Parties et accessoires pour poupées représentant uniquement l'être humain, n.d.a.</v>
      </c>
      <c r="C1002">
        <v>200000</v>
      </c>
      <c r="D1002">
        <v>372</v>
      </c>
    </row>
    <row r="1003" spans="1:4" x14ac:dyDescent="0.25">
      <c r="A1003" t="str">
        <f>T("   950619")</f>
        <v xml:space="preserve">   950619</v>
      </c>
      <c r="B1003" t="str">
        <f>T("   MATÉRIEL POUR LA PRATIQUE DU SKI DE NEIGE (À L'EXCL. DES SKIS ET DES FIXATIONS POUR SKIS) [01/01/1988-31/12/1994: MATERIEL POUR LA PRATIQUE DU SKI DE NEIGE, (SAUF SKIS ET FIXATIONS)]")</f>
        <v xml:space="preserve">   MATÉRIEL POUR LA PRATIQUE DU SKI DE NEIGE (À L'EXCL. DES SKIS ET DES FIXATIONS POUR SKIS) [01/01/1988-31/12/1994: MATERIEL POUR LA PRATIQUE DU SKI DE NEIGE, (SAUF SKIS ET FIXATIONS)]</v>
      </c>
      <c r="C1003">
        <v>2300000</v>
      </c>
      <c r="D1003">
        <v>11000</v>
      </c>
    </row>
    <row r="1004" spans="1:4" x14ac:dyDescent="0.25">
      <c r="A1004" t="str">
        <f>T("VN")</f>
        <v>VN</v>
      </c>
      <c r="B1004" t="str">
        <f>T("Vietnam")</f>
        <v>Vietnam</v>
      </c>
    </row>
    <row r="1005" spans="1:4" x14ac:dyDescent="0.25">
      <c r="A1005" t="str">
        <f>T("   ZZ_Total_Produit_SH6")</f>
        <v xml:space="preserve">   ZZ_Total_Produit_SH6</v>
      </c>
      <c r="B1005" t="str">
        <f>T("   ZZ_Total_Produit_SH6")</f>
        <v xml:space="preserve">   ZZ_Total_Produit_SH6</v>
      </c>
      <c r="C1005">
        <v>2865008853</v>
      </c>
      <c r="D1005">
        <v>15258583</v>
      </c>
    </row>
    <row r="1006" spans="1:4" x14ac:dyDescent="0.25">
      <c r="A1006" t="str">
        <f>T("   080131")</f>
        <v xml:space="preserve">   080131</v>
      </c>
      <c r="B1006" t="str">
        <f>T("   Noix de cajou, fraîches ou sèches, en coques")</f>
        <v xml:space="preserve">   Noix de cajou, fraîches ou sèches, en coques</v>
      </c>
      <c r="C1006">
        <v>1476401378</v>
      </c>
      <c r="D1006">
        <v>4185951</v>
      </c>
    </row>
    <row r="1007" spans="1:4" x14ac:dyDescent="0.25">
      <c r="A1007" t="str">
        <f>T("   080590")</f>
        <v xml:space="preserve">   080590</v>
      </c>
      <c r="B1007" t="s">
        <v>15</v>
      </c>
      <c r="C1007">
        <v>500000</v>
      </c>
      <c r="D1007">
        <v>10000</v>
      </c>
    </row>
    <row r="1008" spans="1:4" x14ac:dyDescent="0.25">
      <c r="A1008" t="str">
        <f>T("   120799")</f>
        <v xml:space="preserve">   120799</v>
      </c>
      <c r="B1008" t="s">
        <v>16</v>
      </c>
      <c r="C1008">
        <v>10000000</v>
      </c>
      <c r="D1008">
        <v>50000</v>
      </c>
    </row>
    <row r="1009" spans="1:4" x14ac:dyDescent="0.25">
      <c r="A1009" t="str">
        <f>T("   440799")</f>
        <v xml:space="preserve">   440799</v>
      </c>
      <c r="B1009" t="s">
        <v>48</v>
      </c>
      <c r="C1009">
        <v>1000000</v>
      </c>
      <c r="D1009">
        <v>50000</v>
      </c>
    </row>
    <row r="1010" spans="1:4" x14ac:dyDescent="0.25">
      <c r="A1010" t="str">
        <f>T("   520100")</f>
        <v xml:space="preserve">   520100</v>
      </c>
      <c r="B1010" t="str">
        <f>T("   COTON, NON-CARDÉ NI PEIGNÉ")</f>
        <v xml:space="preserve">   COTON, NON-CARDÉ NI PEIGNÉ</v>
      </c>
      <c r="C1010">
        <v>853497441</v>
      </c>
      <c r="D1010">
        <v>1119233</v>
      </c>
    </row>
    <row r="1011" spans="1:4" x14ac:dyDescent="0.25">
      <c r="A1011" t="str">
        <f>T("   520299")</f>
        <v xml:space="preserve">   520299</v>
      </c>
      <c r="B1011" t="str">
        <f>T("   Déchets de coton (à l'excl. des déchets de fils et des effilochés)")</f>
        <v xml:space="preserve">   Déchets de coton (à l'excl. des déchets de fils et des effilochés)</v>
      </c>
      <c r="C1011">
        <v>39360034</v>
      </c>
      <c r="D1011">
        <v>98399</v>
      </c>
    </row>
    <row r="1012" spans="1:4" x14ac:dyDescent="0.25">
      <c r="A1012" t="str">
        <f>T("   720429")</f>
        <v xml:space="preserve">   720429</v>
      </c>
      <c r="B1012"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12">
        <v>210500000</v>
      </c>
      <c r="D1012">
        <v>4210000</v>
      </c>
    </row>
    <row r="1013" spans="1:4" x14ac:dyDescent="0.25">
      <c r="A1013" t="str">
        <f>T("   720430")</f>
        <v xml:space="preserve">   720430</v>
      </c>
      <c r="B101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013">
        <v>211750000</v>
      </c>
      <c r="D1013">
        <v>4235000</v>
      </c>
    </row>
    <row r="1014" spans="1:4" x14ac:dyDescent="0.25">
      <c r="A1014" t="str">
        <f>T("   720449")</f>
        <v xml:space="preserve">   720449</v>
      </c>
      <c r="B1014" t="s">
        <v>64</v>
      </c>
      <c r="C1014">
        <v>56500000</v>
      </c>
      <c r="D1014">
        <v>1190000</v>
      </c>
    </row>
    <row r="1015" spans="1:4" x14ac:dyDescent="0.25">
      <c r="A1015" t="str">
        <f>T("   760200")</f>
        <v xml:space="preserve">   760200</v>
      </c>
      <c r="B1015" t="s">
        <v>74</v>
      </c>
      <c r="C1015">
        <v>5500000</v>
      </c>
      <c r="D1015">
        <v>110000</v>
      </c>
    </row>
    <row r="1016" spans="1:4" x14ac:dyDescent="0.25">
      <c r="A1016" t="str">
        <f>T("ZA")</f>
        <v>ZA</v>
      </c>
      <c r="B1016" t="str">
        <f>T("Afrique du Sud")</f>
        <v>Afrique du Sud</v>
      </c>
    </row>
    <row r="1017" spans="1:4" x14ac:dyDescent="0.25">
      <c r="A1017" t="str">
        <f>T("   ZZ_Total_Produit_SH6")</f>
        <v xml:space="preserve">   ZZ_Total_Produit_SH6</v>
      </c>
      <c r="B1017" t="str">
        <f>T("   ZZ_Total_Produit_SH6")</f>
        <v xml:space="preserve">   ZZ_Total_Produit_SH6</v>
      </c>
      <c r="C1017">
        <v>560684394</v>
      </c>
      <c r="D1017">
        <v>5848915</v>
      </c>
    </row>
    <row r="1018" spans="1:4" x14ac:dyDescent="0.25">
      <c r="A1018" t="str">
        <f>T("   080131")</f>
        <v xml:space="preserve">   080131</v>
      </c>
      <c r="B1018" t="str">
        <f>T("   Noix de cajou, fraîches ou sèches, en coques")</f>
        <v xml:space="preserve">   Noix de cajou, fraîches ou sèches, en coques</v>
      </c>
      <c r="C1018">
        <v>34727574</v>
      </c>
      <c r="D1018">
        <v>529416</v>
      </c>
    </row>
    <row r="1019" spans="1:4" x14ac:dyDescent="0.25">
      <c r="A1019" t="str">
        <f>T("   080132")</f>
        <v xml:space="preserve">   080132</v>
      </c>
      <c r="B1019" t="str">
        <f>T("   Noix de cajou, fraîches ou sèches, sans coques")</f>
        <v xml:space="preserve">   Noix de cajou, fraîches ou sèches, sans coques</v>
      </c>
      <c r="C1019">
        <v>29300592</v>
      </c>
      <c r="D1019">
        <v>13744</v>
      </c>
    </row>
    <row r="1020" spans="1:4" x14ac:dyDescent="0.25">
      <c r="A1020" t="str">
        <f>T("   230610")</f>
        <v xml:space="preserve">   230610</v>
      </c>
      <c r="B1020"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020">
        <v>363683009</v>
      </c>
      <c r="D1020">
        <v>4969338</v>
      </c>
    </row>
    <row r="1021" spans="1:4" x14ac:dyDescent="0.25">
      <c r="A1021" t="str">
        <f>T("   230690")</f>
        <v xml:space="preserve">   230690</v>
      </c>
      <c r="B1021" t="s">
        <v>24</v>
      </c>
      <c r="C1021">
        <v>415021</v>
      </c>
      <c r="D1021">
        <v>17316</v>
      </c>
    </row>
    <row r="1022" spans="1:4" x14ac:dyDescent="0.25">
      <c r="A1022" t="str">
        <f>T("   271019")</f>
        <v xml:space="preserve">   271019</v>
      </c>
      <c r="B1022" t="str">
        <f>T("   Huiles moyennes et préparations, de pétrole ou de minéraux bitumineux, n.d.a.")</f>
        <v xml:space="preserve">   Huiles moyennes et préparations, de pétrole ou de minéraux bitumineux, n.d.a.</v>
      </c>
      <c r="C1022">
        <v>120185673</v>
      </c>
      <c r="D1022">
        <v>245235</v>
      </c>
    </row>
    <row r="1023" spans="1:4" x14ac:dyDescent="0.25">
      <c r="A1023" t="str">
        <f>T("   620590")</f>
        <v xml:space="preserve">   620590</v>
      </c>
      <c r="B1023"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23">
        <v>500000</v>
      </c>
      <c r="D1023">
        <v>300</v>
      </c>
    </row>
    <row r="1024" spans="1:4" x14ac:dyDescent="0.25">
      <c r="A1024" t="str">
        <f>T("   630900")</f>
        <v xml:space="preserve">   630900</v>
      </c>
      <c r="B1024" t="s">
        <v>57</v>
      </c>
      <c r="C1024">
        <v>1500000</v>
      </c>
      <c r="D1024">
        <v>900</v>
      </c>
    </row>
    <row r="1025" spans="1:4" x14ac:dyDescent="0.25">
      <c r="A1025" t="str">
        <f>T("   870423")</f>
        <v xml:space="preserve">   870423</v>
      </c>
      <c r="B1025" t="s">
        <v>104</v>
      </c>
      <c r="C1025">
        <v>9672525</v>
      </c>
      <c r="D1025">
        <v>72166</v>
      </c>
    </row>
    <row r="1026" spans="1:4" x14ac:dyDescent="0.25">
      <c r="A1026" t="str">
        <f>T("   940350")</f>
        <v xml:space="preserve">   940350</v>
      </c>
      <c r="B1026" t="str">
        <f>T("   Meubles pour chambres à coucher, en bois (sauf sièges)")</f>
        <v xml:space="preserve">   Meubles pour chambres à coucher, en bois (sauf sièges)</v>
      </c>
      <c r="C1026">
        <v>700000</v>
      </c>
      <c r="D1026">
        <v>500</v>
      </c>
    </row>
    <row r="1027" spans="1:4" x14ac:dyDescent="0.25">
      <c r="A1027" t="str">
        <f>T("ZM")</f>
        <v>ZM</v>
      </c>
      <c r="B1027" t="str">
        <f>T("Zambie")</f>
        <v>Zambie</v>
      </c>
    </row>
    <row r="1028" spans="1:4" x14ac:dyDescent="0.25">
      <c r="A1028" t="str">
        <f>T("   ZZ_Total_Produit_SH6")</f>
        <v xml:space="preserve">   ZZ_Total_Produit_SH6</v>
      </c>
      <c r="B1028" t="str">
        <f>T("   ZZ_Total_Produit_SH6")</f>
        <v xml:space="preserve">   ZZ_Total_Produit_SH6</v>
      </c>
      <c r="C1028">
        <v>2000000</v>
      </c>
      <c r="D1028">
        <v>2000</v>
      </c>
    </row>
    <row r="1029" spans="1:4" x14ac:dyDescent="0.25">
      <c r="A1029" t="str">
        <f>T("   621040")</f>
        <v xml:space="preserve">   621040</v>
      </c>
      <c r="B1029" t="s">
        <v>55</v>
      </c>
      <c r="C1029">
        <v>2000000</v>
      </c>
      <c r="D1029">
        <v>2000</v>
      </c>
    </row>
    <row r="1030" spans="1:4" s="1" customFormat="1" x14ac:dyDescent="0.25">
      <c r="A1030" s="1" t="str">
        <f>T("   ZZ_Total_Produit_SH6")</f>
        <v xml:space="preserve">   ZZ_Total_Produit_SH6</v>
      </c>
      <c r="B1030" s="1" t="str">
        <f>T("   ZZ_Total_Produit_SH6")</f>
        <v xml:space="preserve">   ZZ_Total_Produit_SH6</v>
      </c>
      <c r="C1030" s="1">
        <v>144980458312</v>
      </c>
      <c r="D1030" s="1">
        <v>534575113.94</v>
      </c>
    </row>
    <row r="1032" spans="1:4" x14ac:dyDescent="0.25">
      <c r="A1032" t="s">
        <v>109</v>
      </c>
    </row>
    <row r="1033" spans="1:4" x14ac:dyDescent="0.25">
      <c r="A1033" t="s">
        <v>110</v>
      </c>
    </row>
    <row r="1035" spans="1:4" x14ac:dyDescent="0.25">
      <c r="A1035" t="s">
        <v>111</v>
      </c>
    </row>
  </sheetData>
  <pageMargins left="0.7" right="0.7" top="0.75" bottom="0.75" header="0.3" footer="0.3"/>
</worksheet>
</file>